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1965" windowWidth="15480" windowHeight="2745" activeTab="2"/>
  </bookViews>
  <sheets>
    <sheet name="Composição de Preços  SEM Deson" sheetId="1" r:id="rId1"/>
    <sheet name="composição resumida" sheetId="2" r:id="rId2"/>
    <sheet name="Orçamento SEM Desoneração " sheetId="3" r:id="rId3"/>
    <sheet name="Cronograma" sheetId="4" r:id="rId4"/>
  </sheets>
  <externalReferences>
    <externalReference r:id="rId7"/>
    <externalReference r:id="rId8"/>
  </externalReferences>
  <definedNames>
    <definedName name="_xlnm.Print_Area" localSheetId="0">'Composição de Preços  SEM Deson'!$A$1:$G$1184</definedName>
    <definedName name="_xlnm.Print_Area" localSheetId="1">'composição resumida'!$A$1:$G$193</definedName>
    <definedName name="_xlnm.Print_Area" localSheetId="3">'Cronograma'!$A$1:$U$53</definedName>
    <definedName name="_xlnm.Print_Area" localSheetId="2">'Orçamento SEM Desoneração '!$A$1:$H$211</definedName>
    <definedName name="BDI" localSheetId="0">#REF!</definedName>
    <definedName name="BDI" localSheetId="1">#REF!</definedName>
    <definedName name="BDI" localSheetId="2">#REF!</definedName>
    <definedName name="BDI">#REF!</definedName>
    <definedName name="EMPRESAS">OFFSET('[1]Plan1'!$B$25,1,0):OFFSET('[1]Plan1'!$H$54,-1,0)</definedName>
    <definedName name="INDICES">OFFSET('[1]Plan1'!$B$20,1,0):OFFSET('[1]Plan1'!$I$24,-1,0)</definedName>
    <definedName name="MEM_A" localSheetId="0">#REF!</definedName>
    <definedName name="MEM_A" localSheetId="1">#REF!</definedName>
    <definedName name="MEM_A" localSheetId="2">#REF!</definedName>
    <definedName name="MEM_A">#REF!</definedName>
    <definedName name="MEM_B" localSheetId="1">#REF!</definedName>
    <definedName name="MEM_B">#REF!</definedName>
    <definedName name="MEN_B" localSheetId="0">#REF!</definedName>
    <definedName name="MEN_B" localSheetId="1">#REF!</definedName>
    <definedName name="MEN_B" localSheetId="2">#REF!</definedName>
    <definedName name="MEN_B">#REF!</definedName>
    <definedName name="ORÇ_A" localSheetId="0">#REF!</definedName>
    <definedName name="ORÇ_A" localSheetId="1">#REF!</definedName>
    <definedName name="ORÇ_A" localSheetId="2">#REF!</definedName>
    <definedName name="ORÇ_A">#REF!</definedName>
    <definedName name="ORÇ_B" localSheetId="0">#REF!</definedName>
    <definedName name="ORÇ_B" localSheetId="1">#REF!</definedName>
    <definedName name="ORÇ_B" localSheetId="2">#REF!</definedName>
    <definedName name="ORÇ_B">#REF!</definedName>
    <definedName name="ORÇ_D" localSheetId="0">#REF!</definedName>
    <definedName name="ORÇ_D" localSheetId="1">#REF!</definedName>
    <definedName name="ORÇ_D" localSheetId="2">#REF!</definedName>
    <definedName name="ORÇ_D">#REF!</definedName>
    <definedName name="_xlnm.Print_Titles" localSheetId="2">'Orçamento SEM Desoneração '!$1:$11</definedName>
  </definedNames>
  <calcPr fullCalcOnLoad="1"/>
</workbook>
</file>

<file path=xl/sharedStrings.xml><?xml version="1.0" encoding="utf-8"?>
<sst xmlns="http://schemas.openxmlformats.org/spreadsheetml/2006/main" count="4739" uniqueCount="1281">
  <si>
    <t>ITEM</t>
  </si>
  <si>
    <t>DESCRIÇÃO</t>
  </si>
  <si>
    <t>UNID</t>
  </si>
  <si>
    <t>QUANT.</t>
  </si>
  <si>
    <t>P.TOTAL</t>
  </si>
  <si>
    <t>%</t>
  </si>
  <si>
    <t>%  DO TOTAL</t>
  </si>
  <si>
    <t>P.UNIT.</t>
  </si>
  <si>
    <t>Prefeitura Municipal de Barra Mansa</t>
  </si>
  <si>
    <t xml:space="preserve">Secretaria Municipal de Planejamento Urbano </t>
  </si>
  <si>
    <t>SINAPI / EMOP</t>
  </si>
  <si>
    <t>Estado do Rio de Janeiro</t>
  </si>
  <si>
    <t>Preço UNIT.</t>
  </si>
  <si>
    <t xml:space="preserve"> TOTAL </t>
  </si>
  <si>
    <t>SERVIÇOS PRELIMINARES</t>
  </si>
  <si>
    <t>M2</t>
  </si>
  <si>
    <t>SUBTOTAL</t>
  </si>
  <si>
    <t>DEMOLIÇÕES</t>
  </si>
  <si>
    <t>M</t>
  </si>
  <si>
    <t>M3</t>
  </si>
  <si>
    <t>ARRANCAMENTOS / REMOÇÕES</t>
  </si>
  <si>
    <t>UN</t>
  </si>
  <si>
    <t>ARRANCAMENTO DE BANCADA DE PIA/LAVATORIO OU BANCA SECA DE ATE 1,00M DE ALTURA E ATE 0,80M DE LARGURA (OBS.:3%-DESGASTE DE FERRAMENTAS E EPI).</t>
  </si>
  <si>
    <t>TRABALHOS EM TERRA</t>
  </si>
  <si>
    <t>KG</t>
  </si>
  <si>
    <t>ALVENARIA</t>
  </si>
  <si>
    <t xml:space="preserve"> INSTALAÇÕES ELÉTRICAS </t>
  </si>
  <si>
    <t>VASO SANITARIO SIFONADO, PARA PCD,  SEM FURO FRONTAL, DE  LOUÇA BRANCA, COM ASSENTO, COM CAIXA ACOPLADA DE LOUÇA BRANCA. H=440mm; C=610mm; L=360mm.  FORNECIMENTO E INSTALAÇÃO. AF_10/2016</t>
  </si>
  <si>
    <t>TORNEIRA DE MESA, PARA LAVATÓRIO, CROMADA, H=260MM; C=245MM; L=50MM. FORNECIMENTO E INSTALAÇÃO. AF_12/2013</t>
  </si>
  <si>
    <t>ESQUADRIAS E FERRAGENS</t>
  </si>
  <si>
    <t>VIDROS</t>
  </si>
  <si>
    <t>VIDRO FANTASIA TIPO CANELADO, ESPESSURA 4MM</t>
  </si>
  <si>
    <t>REVESTIMENTO DE PAREDES E TETOS</t>
  </si>
  <si>
    <t>REVESTIMENTO DE PAREDES OU MUROS COM PLACA RETANGULAR DE GRANITO (LAJINHA), SERRADA NAS LATERAIS COM FACE NATURAL (23 X11,5)CM,  COM ESPESSURA DE REFERENCIA DE 1,5CM, ASSENTE COM ARGAMASSA DE CIMENTO, AREIA E SAIBRO, NO TR ACO 1:3:3 E REJUNTAMENTO PRONTO (OBS.:3%-DESGASTE DE FERRAMENTAS E EPI).</t>
  </si>
  <si>
    <t>REVESTIMENTO DE PISOS</t>
  </si>
  <si>
    <t>REVESTIMENTO DE PISO COM CERAMICA TATIL ALERTA,(LADRILHO HIDRAULICO) PARA PESSOAS COM NECESSIDADES ESPECIFICAS,ASSENTES SOBRE SUPERFICIE EM OSSO,CONFORME ITEM 13.330.0010 (OBS.:3%-DESGASTE DE FERRAMENTAS E EPI).</t>
  </si>
  <si>
    <t xml:space="preserve">RODAPÉS,  SOLEIRAS,  PEITORIS E CONTORNOS </t>
  </si>
  <si>
    <t>PINTURA</t>
  </si>
  <si>
    <t>REMOCAO DE PINTURA PLASTICA E SEMELHANTES (OBS.:3%-DESGASTE DE FERRAMENTAS E EPI).</t>
  </si>
  <si>
    <t>APLICAÇÃO MANUAL DE PINTURA COM TINTA LÁTEX PVA EM TETO, DUAS DEMÃOS. AF_06/2014</t>
  </si>
  <si>
    <t>APLICAÇÃO MANUAL DE TINTA LÁTEX ACRÍLICA EM PAREDE EXTERNAS DE CASAS, DUAS DEMÃOS. AF_11/2016</t>
  </si>
  <si>
    <t>00453</t>
  </si>
  <si>
    <t>PREGO COM OU SEM CABECA, EM CAIXAS DE 50KG, OU QUANTIDADES EQUIVALENTES, N§12X12A 18X30</t>
  </si>
  <si>
    <t>00368</t>
  </si>
  <si>
    <t>PINUS, EM PECAS DE 7,50X7,50CM (3"X3")</t>
  </si>
  <si>
    <t>00294</t>
  </si>
  <si>
    <t>TINTA A OLEO BRILHANTE, P/USO GERAL, EMINTERIORES E EXTERIORES</t>
  </si>
  <si>
    <t>GL</t>
  </si>
  <si>
    <t>00160</t>
  </si>
  <si>
    <t>CHAPA DE ACO CARBONO, GALVANIZADA, PARAUSOS GERAIS, TAMANHO PADRAO, PRECO DE REVENDEDOR, COM ESPESSURA DE 0,5MM</t>
  </si>
  <si>
    <t>01999</t>
  </si>
  <si>
    <t>MAO-DE-OBRA DE SERVENTE DA CONSTRUCAO CIVIL, INCLUSIVE ENCARGOS SOCIAIS</t>
  </si>
  <si>
    <t>H</t>
  </si>
  <si>
    <t>TOTAL</t>
  </si>
  <si>
    <t>So000088316</t>
  </si>
  <si>
    <t>SERVENTE COM ENCARGOS COMPLEMENTARES</t>
  </si>
  <si>
    <t>CHI</t>
  </si>
  <si>
    <t>CHP</t>
  </si>
  <si>
    <t>FITA VEDA ROSCA EM ROLOS DE 18 MM X 10 M (L X C)</t>
  </si>
  <si>
    <t>ENCANADOR OU BOMBEIRO HIDRÁULICO COM ENCARGOS COMPLEMENTARES</t>
  </si>
  <si>
    <t>AUXILIAR DE ENCANADOR OU BOMBEIRO HIDRÁULICO COM ENCARGOS COMPLEMENTARES</t>
  </si>
  <si>
    <t>L</t>
  </si>
  <si>
    <t>ALVENARIA DE TIJOLOS CERAMICOS FURADOS 10X20X20CM,ASSENTES COM ARGAMASSA DE CIMENTO E SAIBRO,NO TRACO 1:8,EM PAREDES DE MEIA VEZ(0,10M),DE SUPERFICIE CORRIDA,ATE 3,00M DE ALTURA EMEDIDA PELA AREA REAL (OBS.:3%-DESGASTE DE FERRAMENTAS E EPI).</t>
  </si>
  <si>
    <t>00559</t>
  </si>
  <si>
    <t>TIJOLO CERAMICO, FURADO, DE (10X20X20)CM</t>
  </si>
  <si>
    <t>00029</t>
  </si>
  <si>
    <t>ACO CA-25, ESTIRADO, PRECO DE REVENDEDOR, NO DIAMETRO DE 06,3MM</t>
  </si>
  <si>
    <t>COBERTURA</t>
  </si>
  <si>
    <t>02604</t>
  </si>
  <si>
    <t>MACARANDUBA EM PECAS, DE 7,50X7,50CM (3"X3")</t>
  </si>
  <si>
    <t>05962</t>
  </si>
  <si>
    <t>CONJUNTO DE VEDACAO, COM ARRUELA GALVANIZADA E BORRACHAS PARA PARAFUSO DE FIXACAO DE TELHA ONDULADA</t>
  </si>
  <si>
    <t>02216</t>
  </si>
  <si>
    <t>MASSA DE VEDACAO P/ARTEFATOS DE CIMENTOAMIANTO</t>
  </si>
  <si>
    <t>RUFO INTERNO/EXTERNO DE CHAPA DE ACO GALVANIZADA NUM 24, CORTE 25 CM (COLETADO CAIXA)</t>
  </si>
  <si>
    <t>SOLDA EM BARRA DE ESTANHO-CHUMBO 50/50</t>
  </si>
  <si>
    <t>REBITE DE ALUMINIO VAZADO DE REPUXO, 3,2 X 8 MM (1KG = 1025 UNIDADES)</t>
  </si>
  <si>
    <t>PREGO DE ACO POLIDO COM CABECA 18 X 27 (2 1/2 X 10)</t>
  </si>
  <si>
    <t>SELANTE ELASTICO MONOCOMPONENTE A BASE DE POLIURETANO PARA JUNTAS DIVERSAS</t>
  </si>
  <si>
    <t>310ML</t>
  </si>
  <si>
    <t>So000088323</t>
  </si>
  <si>
    <t>TELHADISTA COM ENCARGOS COMPLEMENTARES</t>
  </si>
  <si>
    <t>So000093282</t>
  </si>
  <si>
    <t>So000093282 GUINCHO ELÉTRICO DE COLUNA, CAPACIDADE 400 KG, COM MOTO FREIO, MOTOR TRIFÁSICO DE 1,25 CV - CHI DIURNO. AF_03/2016</t>
  </si>
  <si>
    <t>So000093281</t>
  </si>
  <si>
    <t>So000093281 GUINCHO ELÉTRICO DE COLUNA, CAPACIDADE 400 KG, COM MOTO FREIO, MOTOR TRIFÁSICO DE 1,25 CV - CHP DIURNO. AF_03/2016</t>
  </si>
  <si>
    <t>05904</t>
  </si>
  <si>
    <t>PARAFUSO FERRO, ROSCA SOBERBA, CABECA CHATA, DE (3,2X20)MM</t>
  </si>
  <si>
    <t>05448</t>
  </si>
  <si>
    <t>SUPORTE ZINCADO DOBRADO, P/CALHA DE BEIRAL, SEMI-CIRCULAR DE PVC, DE DN=125MM</t>
  </si>
  <si>
    <t>CALHA DE BEIRAL,SEMI-CIRCULAR DE PVC,DN 125,EXCLUSIVE CONDUTORES (VIDE ITEM 16.004.0055).FORNECIMENTO E COLOCACAO (OBS.:3%-DESGASTE DE FERRAMENTAS E EPI).</t>
  </si>
  <si>
    <t>05449</t>
  </si>
  <si>
    <t>VEDACAO PARA CALHA DE BEIRAL DE PVC, DEDN=125MM</t>
  </si>
  <si>
    <t>05447</t>
  </si>
  <si>
    <t>BOCAL PARA CALHA DE BEIRAL, SEMI-CIRCULAR DE PVC, DE DN=(125X88)MM</t>
  </si>
  <si>
    <t>05446</t>
  </si>
  <si>
    <t>EMENDA DE PVC PARA CALHA DE BEIRAL, DN=125MM</t>
  </si>
  <si>
    <t>05445</t>
  </si>
  <si>
    <t>CALHA DE PVC PARA BEIRAL, DE DN=125MM, COM 3,00M</t>
  </si>
  <si>
    <t>05444</t>
  </si>
  <si>
    <t>CABECEIRA DE PVC PARA CALHA BEIRAL, DN DE 125MM, TIPO ESQUERDA</t>
  </si>
  <si>
    <t>05443</t>
  </si>
  <si>
    <t>CABECEIRA DE PVC PARA CALHA BEIRAL, DN DDE 125MM, TIPO DIREITA</t>
  </si>
  <si>
    <t>CONDUTOR PARA CALHA DE BEIRAL DE PVC,DN 88,INCLUSIVE CONEXOES.FORNECIMENTO E COLOCACAO (OBS.:3%-DESGASTE DE FERRAMENTAS E EPI).</t>
  </si>
  <si>
    <t>05906</t>
  </si>
  <si>
    <t>PARAFUSO FERRO, ROSCA SOBERBA, CABECA CHATA, DE (3,8X30)MM</t>
  </si>
  <si>
    <t>05880</t>
  </si>
  <si>
    <t>BUCHA DE NYLON, TIPO S-05</t>
  </si>
  <si>
    <t>05454</t>
  </si>
  <si>
    <t>JOELHO 60§ DE PVC, P/CALHA DE BEIRAL, DE88MM</t>
  </si>
  <si>
    <t>05452</t>
  </si>
  <si>
    <t>CONDUTOR PARA CALHA DE BEIRAL DE PVC, DEDN=88MM</t>
  </si>
  <si>
    <t>05451</t>
  </si>
  <si>
    <t>JOELHO 90§ DE PVC, PARA CALHA DE BEIRAL,DE 88MM</t>
  </si>
  <si>
    <t>05450</t>
  </si>
  <si>
    <t>ABRACADEIRA PARA CALHA DE BEIRAL, DE PVC, N=88MM</t>
  </si>
  <si>
    <t>02339</t>
  </si>
  <si>
    <t>ADESIVO PLASTICO PARA PVC RIGIDO, EM BISNAGA DE 75G</t>
  </si>
  <si>
    <t>So000088309</t>
  </si>
  <si>
    <t>PEDREIRO COM ENCARGOS COMPLEMENTARES</t>
  </si>
  <si>
    <t>ELETRICISTA COM ENCARGOS COMPLEMENTARES</t>
  </si>
  <si>
    <t>Mercado</t>
  </si>
  <si>
    <t>So37329</t>
  </si>
  <si>
    <t>REJUNTE EPOXI BRANCO</t>
  </si>
  <si>
    <t>So36520</t>
  </si>
  <si>
    <t>BACIA SANITARIA (VASO) CONVENCIONAL PARA PCD SEM FURO FRONTAL, DE LOUCA BRANCA, SEM ASSENTO</t>
  </si>
  <si>
    <t>VASO SANITARIO SIFONADO, PARA PCD</t>
  </si>
  <si>
    <t>So06138</t>
  </si>
  <si>
    <t>VEDACAO PVC, 100 MM, PARA SAIDA VASO SANITARIO</t>
  </si>
  <si>
    <t>So04384</t>
  </si>
  <si>
    <t>PARAFUSO NIQUELADO COM ACABAMENTO CROMADO PARA FIXAR PECA SANITARIA, INCLUI PORCA CEGA, ARRUELA E BUCHA DE NYLON TAMANHO S-10</t>
  </si>
  <si>
    <t>So000088267</t>
  </si>
  <si>
    <t>02984</t>
  </si>
  <si>
    <t>RABICHO PLASTICO COM SAIDA DE 1/2" E COMCOMPRIMENTO DE 30CM</t>
  </si>
  <si>
    <t>02593</t>
  </si>
  <si>
    <t>VALVULA DE ESCOAMENTO, P/PIA DE COZINHA,1623, EM METAL CROMADO, DE 1.1/2"X3.3/4"</t>
  </si>
  <si>
    <t>02356</t>
  </si>
  <si>
    <t>SIFAO EM METAL CROMADO, DE 1.1/2"X1.1/2"</t>
  </si>
  <si>
    <t>So13416</t>
  </si>
  <si>
    <t>TORNEIRA CROMADA DE PAREDE PARA COZINHA SEM AREJADOR, PADRAO POPULAR, 1/2 " OU 3/4 " (REF 1158)</t>
  </si>
  <si>
    <t>TORNEIRA DE MESA, PARA LAVATÓRIO, CROMADA</t>
  </si>
  <si>
    <t>02565</t>
  </si>
  <si>
    <t>BANCA DE ACO INOXIDAVEL, CHAPA 18/304, COM UMA CUBA DE (500X400X200)MM, CHAPA 20/304, DE (0,55X2,00)M</t>
  </si>
  <si>
    <t>03083</t>
  </si>
  <si>
    <t>11.013.0003-1 VERGAS CONCR. ARMADO P/ ALVEN.</t>
  </si>
  <si>
    <t>01648</t>
  </si>
  <si>
    <t>12.003.0075-1 ALVENARIA TIJ. FURADO 10X20X20CM</t>
  </si>
  <si>
    <t>02988</t>
  </si>
  <si>
    <t>DUCHINHA MANUAL, COM MANGUEIRA CROMADA DE 1/2"</t>
  </si>
  <si>
    <t>BARRA DE APOIO EM ACO INOXIDAVEL AISI 304,TUBO DE 1.1/4",INCLUSIVE FIXACAO COM PARAFUSOS INOXIDAVEIS E BUCHAS PLASTICAS, COM 50CM,PARA PESSOAS COM NECESSIDADES ESPECIFICAS.FORNECIMENTO E COLOCACAO (OBS.:3%-DESGASTE DE FERRAMENTAS E EPI).</t>
  </si>
  <si>
    <t>13146</t>
  </si>
  <si>
    <t>BARRA DE APOIO, EM ACO INOXIDAVEL AISI 304, TUBO DE 1.1/4", COM 50CM</t>
  </si>
  <si>
    <t>BARRA DE APOIO EM ACO INOXIDAVEL AISI 304,TUBO DE 1.1/4",INCLUSIVE FIXACAO COM PARAFUSOS INOXIDAVEIS E BUCHAS PLASTICAS, COM 80CM,PARA PESSOAS COM NECESSIDADES ESPECIFICAS.FORNECIMENTO E COLOCACAO (OBS.:3%-DESGASTE DE FERRAMENTAS E EPI).</t>
  </si>
  <si>
    <t>13147</t>
  </si>
  <si>
    <t>BARRA DE APOIO, EM ACO INOXIDAVEL AISI 304, TUBO DE 1.1/4", COM 80CM</t>
  </si>
  <si>
    <t>MASSA PARA VIDRO</t>
  </si>
  <si>
    <t>VIDRACEIRO COM ENCARGOS COMPLEMENTARES</t>
  </si>
  <si>
    <t>00324</t>
  </si>
  <si>
    <t>LIXA P/MADEIRA N§100</t>
  </si>
  <si>
    <t>VIDRO MARTELADO OU CANELADO, 4 MM - SEM COLOCACAO</t>
  </si>
  <si>
    <t>00150</t>
  </si>
  <si>
    <t>CIMENTO BRANCO</t>
  </si>
  <si>
    <t>01976</t>
  </si>
  <si>
    <t>MAO-DE-OBRA DE MARMORISTA DE MARMORE E GRANITO, INCLUSIVE ENCARGOS SOCIAIS</t>
  </si>
  <si>
    <t>00149</t>
  </si>
  <si>
    <t>00001</t>
  </si>
  <si>
    <t>AREIA LAVADA, GROSSA, PARA REGIAO METROPOLITANA DO RIO DE JANEIRO</t>
  </si>
  <si>
    <t>03863</t>
  </si>
  <si>
    <t>CORANTE EM PO PARA CAIACAO, EM EMBALAGEMDE 250G</t>
  </si>
  <si>
    <t>14496</t>
  </si>
  <si>
    <t>LIXA PARA MASSA</t>
  </si>
  <si>
    <t>14493</t>
  </si>
  <si>
    <t>TINTA ACRILICA ACETINADA, USO HOSPITALAR, PARA PAREDES E TETOS, NA COR BRANCA, EM LATA DE 18 LITROS</t>
  </si>
  <si>
    <t>06028</t>
  </si>
  <si>
    <t>SELADOR PIGMENTADO A BASE DE RESINA ACRILICA MODIFICADA, NA COR BRANCA</t>
  </si>
  <si>
    <t>03874</t>
  </si>
  <si>
    <t>MASSA ACRILILICA, EM BALDES DE 18 LITROS</t>
  </si>
  <si>
    <t>So000088310</t>
  </si>
  <si>
    <t>PINTOR COM ENCARGOS COMPLEMENTARES</t>
  </si>
  <si>
    <t>TINTA ACRILICA PREMIUM, COR BRANCO FOSCO</t>
  </si>
  <si>
    <t>Local : Rua Major José Bento, nº 1889 - Vila Nova - Barra Mansa - RJ</t>
  </si>
  <si>
    <t>AZULEJISTA OU LADRILHISTA COM ENCARGOS COMPLEMENTARES</t>
  </si>
  <si>
    <t>DEMOLIÇÃO DE ALVENARIA DE BLOCO FURADO, DE FORMA MANUAL, SEM REAPROVEITAMENTO. AF_12/2017</t>
  </si>
  <si>
    <t>DEMOLIÇÃO DE REVESTIMENTO CERÂMICO / AZULEJO, DE FORMA MANUAL, SEM REAPROVEITAMENTO. AF_12/2017</t>
  </si>
  <si>
    <t>So000097644</t>
  </si>
  <si>
    <t>REMOÇÃO DE PORTAS, DE FORMA MANUAL, SEM REAPROVEITAMENTO. AF_12/2017</t>
  </si>
  <si>
    <t>REMOÇÃO DE LOUÇAS, DE FORMA MANUAL, SEM REAPROVEITAMENTO. AF_12/2017</t>
  </si>
  <si>
    <t>REMOÇÃO DE METAIS SANITÁRIOS, DE FORMA MANUAL, SEM REAPROVEITAMENTO. AF_12/2017</t>
  </si>
  <si>
    <t>DEMOLIÇÃO DE VERGAS DE CONCRETO DAS PORTAS TROCADAS : DEMOLIÇÃO DE PILARES E VIGAS EM CONCRETO ARMADO, DE FORMA MANUAL, SEM REAPROVEITAMENTO. AF_12/2017</t>
  </si>
  <si>
    <t>VERGA MOLDADA IN LOCO EM CONCRETO PARA PORTAS COM ATÉ 1,5 M DE VÃO. AF_03/2016</t>
  </si>
  <si>
    <t>ESPACADOR / DISTANCIADOR CIRCULAR COM ENTRADA LATERAL, EM PLASTICO, PARA VERGALHAO *4,2 A 12,5* MM, COBRIMENTO 20 MM</t>
  </si>
  <si>
    <t>DESMOLDANTE PROTETOR PARA FORMAS DE MADEIRA, DE BASE OLEOSA EMULSIONADA EM AGUA</t>
  </si>
  <si>
    <t>So000094970 CONCRETO FCK = 20MPA, TRAÇO 1:2,7:3 (CIMENTO/ AREIA MÉDIA/ BRITA 1)  - PREPARO MECÂNICO COM BETONEIRA 600 L. AF_07/2016</t>
  </si>
  <si>
    <t>So000092791 CORTE E DOBRA DE AÇO CA-60, DIÂMETRO DE 5,0 MM, UTILIZADO EM ESTRUTURAS DIVERSAS, EXCETO LAJES. AF_12/2015</t>
  </si>
  <si>
    <t>So000092270 FABRICAÇÃO DE FÔRMA PARA VIGAS, COM MADEIRA SERRADA, E = 25 MM. AF_12/2015</t>
  </si>
  <si>
    <t>05964</t>
  </si>
  <si>
    <t>PARAFUSO COM ROSCA, DE (8x250)MM</t>
  </si>
  <si>
    <t>TOTAL POR  metro</t>
  </si>
  <si>
    <t>PORTA EM ALUMÍNIO DE ABRIR TIPO VENEZIANA COM GUARNIÇÃO, FIXAÇÃO COM PARAFUSOS - FORNECIMENTO E INSTALAÇÃO. AF_08/2015</t>
  </si>
  <si>
    <t>PORTA DE ABRIR EM ALUMINIO TIPO VENEZIANA, ACABAMENTO ANODIZADO NATURAL, SEM GUARNICAO/ALIZAR/VISTA, 87 X 210 CM</t>
  </si>
  <si>
    <t>GUARNICAO/MOLDURA DE ACABAMENTO PARA ESQUADRIA DE ALUMINIO ANODIZADO NATURAL, PARA 1 FACE</t>
  </si>
  <si>
    <t>BUCHA DE NYLON SEM ABA S10, COM PARAFUSO DE 6,10 X 65 MM EM ACO ZINCADO COM ROSCA SOBERBA, CABECA CHATA E FENDA PHILLIPS</t>
  </si>
  <si>
    <t>05499</t>
  </si>
  <si>
    <t>DOBRADICA EM ACO LAMINADO CROMADO, EIXODE FERRO, DE 3"X3"</t>
  </si>
  <si>
    <t>07799</t>
  </si>
  <si>
    <t>FECHADURA DE EMBUTIR EM LATAO CROM., P/PORTA EXT.,MACANETA TIPO BOLA EM ZAMAK, DIST. 55MM E PROFUND. 80MM</t>
  </si>
  <si>
    <t>CHAPISCO APLICADO EM ALVENARIAS E ESTRUTURAS DE CONCRETO INTERNAS, COM COLHER DE PEDREIRO.  ARGAMASSA TRAÇO 1:3 COM PREPARO EM BETONEIRA 400L. AF_06/2014</t>
  </si>
  <si>
    <t>REJUNTE COLORIDO, CIMENTICIO</t>
  </si>
  <si>
    <t>00408</t>
  </si>
  <si>
    <t>GRANA DE MARMORE BRANCO NACIONAL, N§1, P/MARMORITE</t>
  </si>
  <si>
    <t>05078</t>
  </si>
  <si>
    <t>PEDRA ESMERIL, P/MAQUINA DE POLIMENTO, DE 6" DE GRANULOMETRIA 060</t>
  </si>
  <si>
    <t>05077</t>
  </si>
  <si>
    <t>PEDRA ESMERIL, P/MAQUINA DE POLIMENTO, DE 6" COM GRANULOMETRIA 036</t>
  </si>
  <si>
    <t>RODAPE DE MARMORITE,FUNDIDO NO LOCAL,COM 10CM DE ALTURA,1CM DE ESPESSURA, TERMINANDO EM CANTO RETO JUNTO AO PISO, FEITO COM CIMENTO E GRANA N§1 DE MARMORE BRANCO NACIONAL, COM POLIMENTO MANUAL,O MARMORITE E EXECUTADO SOBRE EMBOCO PREVIO NAO INCLUIDO NESTA (OBS.:3%-DESGASTE DE FERRAMENTAS E EPI).</t>
  </si>
  <si>
    <t>SOLEIRA EM GRANITO CINZA ANDORINHA,ESPESSURA DE 3CM,COM 2 P LIMENTOS,LARGURA DE 15CM,ASSENTADO COM ARGAMASSA DE CIMENTO, SAIBRO E AREIA, NO TRACO 1:2:2, E REJUNTAMENTO COM CIMENTOBRANCO E CORANTE (OBS.:3%-DESGASTE DE FERRAMENTAS E EPI).</t>
  </si>
  <si>
    <t>11183</t>
  </si>
  <si>
    <t>SOLEIRA GRANITO CINZA ANDORINHA, 15X3CMCOM 2 POLIMENTOS</t>
  </si>
  <si>
    <t>MASSA ACRILICA PARA PAREDES INTERIOR/EXTERIOR</t>
  </si>
  <si>
    <t>LIXA EM FOLHA PARA PAREDE OU MADEIRA, NUMERO 120 (COR VERMELHA)</t>
  </si>
  <si>
    <t>PLACA DE IDENTIFICACAO DE OBRA PUBLICA,INCLUSIVE PINTURA E SUPORTES DE MADEIRA.FORNECIMENTO E COLOCACAO</t>
  </si>
  <si>
    <t>SI000088316</t>
  </si>
  <si>
    <t>SI000088309</t>
  </si>
  <si>
    <t>DEMOLIÇÃO DE PILARES E VIGAS EM CONCRETO ARMADO, DE FORMA MANUAL, SEM REAPROVEITAMENTO. AF_12/2017</t>
  </si>
  <si>
    <t>03911</t>
  </si>
  <si>
    <t>LAVATORIO DE LOUCA BRANCA, TIPO MEDIO LUXO, MEDINDO EM TORNO DE (47X35)CM, INCLUSIVE ACESSORIOS DE FIXACAO</t>
  </si>
  <si>
    <t>03902</t>
  </si>
  <si>
    <t>TORNEIRA DE PRESSAO DE 1/2", SEM AREJADOR</t>
  </si>
  <si>
    <t>03901</t>
  </si>
  <si>
    <t>SIFAO EM METAL CROMADO, DE 1"X1.1/4"</t>
  </si>
  <si>
    <t>02355</t>
  </si>
  <si>
    <t>VALVULA DE ESCOAMENTO, P/LAVATORIO, 1603, EM METAL CROMADO, DE 1"</t>
  </si>
  <si>
    <t>BANCADA EM AÇO INOX AISE 304, COM UMA CUBA (APROX. 500X400X250MM), PÉS TUBULARES, GRADEADO INFERIOR, ESPELHO E RODOPIA. MEDIDAS : 1400X600MM.  FORNECIMENTO E COLOCACAO (OBS.:3%-DESGASTE DE FERRAMENTAS E EPI).</t>
  </si>
  <si>
    <t xml:space="preserve">BANCADA EM AÇO INOX AISE 304, COM UMA CUBA (APROX. 500X400X250MM), PÉS TUBULARES, GRADEADO INFERIOR, ESPELHO E RODOPIA. MEDIDAS : 1400X600MM.  </t>
  </si>
  <si>
    <t>BANCADA EM AÇO INOX AISE 304, COM UMA CUBA (APROX. 500X400X250MM), PÉS TUBULARES, GRADEADO INFERIOR, ESPELHO E RODOPIA. MEDIDAS : 1500X600MM. FORNECIMENTO E COLOCACAO (OBS.:3%-DESGASTE DE FERRAMENTAS E EPI).</t>
  </si>
  <si>
    <t>BANCADA EM AÇO INOX AISE 304, COM UMA CUBA (APROX. 500X400X250MM), PÉS TUBULARES, GRADEADO INFERIOR, ESPELHO E RODOPIA. MEDIDAS : 1500X600MM.</t>
  </si>
  <si>
    <t>COBERTURA EM TELHA MODULAR DE CIMENTO,SEM AMIANTO,REFORCADO COM FIOS SINTETICOS (CRFS),COM 50CM DE LARGURA,ESPESSURA DE 8MM,INCLUSIVE ACESSORIOS DE FIXACAO E VEDACAO,EXCLUSIVE MADEIRAMENTO.FORNECIMENTO E COLOCACAO (OBS.:3%-DESGASTE DE FERRAMENTAS E EPI).</t>
  </si>
  <si>
    <t>08005</t>
  </si>
  <si>
    <t>TELHA MODULAR DE CIMENTO, SEM AMIANTO, REFORCADA C/FIOS SINTETICOS (CRFS), DE (2,30X0,50)M C/ESPES. DE 8MM</t>
  </si>
  <si>
    <t>PARTE INTERNA</t>
  </si>
  <si>
    <t>PARTE EXTERNA</t>
  </si>
  <si>
    <t>Projeto :</t>
  </si>
  <si>
    <t xml:space="preserve">Levant. Quant. : </t>
  </si>
  <si>
    <t>Orçamento :</t>
  </si>
  <si>
    <t>Aprovação :</t>
  </si>
  <si>
    <t>CAPINA E LIMPEZA MANUAL DE TERRENO</t>
  </si>
  <si>
    <t>So000097631</t>
  </si>
  <si>
    <t>DEMOLIÇÃO DE ARGAMASSAS, DE FORMA MANUAL, SEM REAPROVEITAMENTO. AF_12/2017</t>
  </si>
  <si>
    <t>DEMOLIÇÃO DE RAMPAS DE CONCRETO : DEMOLICAO MANUAL DE CONCRETO SIMPLES COM EMPILHAMENTO LATERAL DENTRO DO CANTEIRO DE SERVICO (OBS.:3%-DESGASTE DE FERRAMENTAS E EPI).</t>
  </si>
  <si>
    <t>REMOÇÃO DE TELHAS, DE FIBROCIMENTO, METÁLICA E CERÂMICA, DE FORMA MANUAL, SEM REAPROVEITAMENTO. AF_12/2017</t>
  </si>
  <si>
    <t>REMOÇÃO DE METAIS SANITÁRIOS (APOIO, TORNEIRAS E DUCHINHA), DE FORMA MANUAL, SEM REAPROVEITAMENTO. AF_12/2017</t>
  </si>
  <si>
    <t>REMOÇÃO DE LOUÇAS (VASO SANITÁRIO, CX. DESCARGA E LAVATÓRIO), DE FORMA MANUAL, SEM REAPROVEITAMENTO. AF_12/2017</t>
  </si>
  <si>
    <t>REMOCAO DE COBERTURA EM TELHAS DE FIBROCIMENTO CONVENCIONAL,ONDULADA,INCLUSIVE MADEIRAMENTO,MEDIDO O CONJUNTO PELA AREA REAL DE COBERTURA (OBS.:3%-DESGASTE DE FERRAMENTAS E EPI).</t>
  </si>
  <si>
    <t>So38123</t>
  </si>
  <si>
    <t>SELANTE TIPO VEDA CALHA PARA METAL E FIBROCIMENTO</t>
  </si>
  <si>
    <t>So07237</t>
  </si>
  <si>
    <t>RUFO PARA TELHA ONDULADA DE FIBROCIMENTO, E = 6 MM, ABA *260* MM, COMPRIMENTO 1100 MM (SEM AMIANTO)</t>
  </si>
  <si>
    <t>So04299</t>
  </si>
  <si>
    <t>PARAFUSO ZINCADO ROSCA SOBERBA, CABECA SEXTAVADA, 5/16 " X 110 MM, PARA FIXACAO DE TELHA EM MADEIRA</t>
  </si>
  <si>
    <t>So01607</t>
  </si>
  <si>
    <t>CONJUNTO ARRUELAS DE VEDACAO 5/16" PARA TELHA FIBROCIMENTO (UMA ARRUELA METALICA E UMA ARRUELA PVC - CONICAS)</t>
  </si>
  <si>
    <t>CJ</t>
  </si>
  <si>
    <t>INSTALAÇÕES ELÉTRICAS</t>
  </si>
  <si>
    <t>So38383</t>
  </si>
  <si>
    <t>LIXA D'AGUA EM FOLHA, GRAO 100</t>
  </si>
  <si>
    <t>So20083</t>
  </si>
  <si>
    <t>SOLUCAO LIMPADORA PARA PVC, FRASCO COM 1000 CM3</t>
  </si>
  <si>
    <t>So11741</t>
  </si>
  <si>
    <t>RALO SIFONADO PVC CILINDRICO, 100 X 40 MM,  COM GRELHA REDONDA BRANCA</t>
  </si>
  <si>
    <t>So00122</t>
  </si>
  <si>
    <t>ADESIVO PLASTICO PARA PVC, FRASCO COM 850 GR</t>
  </si>
  <si>
    <t>So000088248</t>
  </si>
  <si>
    <t>PORTA CADEADO ZINCADO OXIDADO PRETO COM CADEADO DE ACO INOX, LARGURA DE *50* MM</t>
  </si>
  <si>
    <t>CADEADO EM ACO INOX, LARGURA DE *50* MM, COM HASTE EM ACO TEMPERADO, SEM MOLA - CHAVES INCLUIDAS</t>
  </si>
  <si>
    <t>PORTA CADEADO,  3 1/2", EM ACO ZINCADO, PRETO, PARA PORTAO E JANELA</t>
  </si>
  <si>
    <t>CARPINTEIRO DE ESQUADRIA COM ENCARGOS COMPLEMENTARES</t>
  </si>
  <si>
    <t>AJUDANTE DE CARPINTEIRO COM ENCARGOS COMPLEMENTARES</t>
  </si>
  <si>
    <t>JANELA BASCULANTE DE ALUMINIO ANODIZADO AO NATURAL,COM 1 ORDEM E BASCULA INFERIOR FIXA,EM PERFIS SERIE 28.FORNECIMENTO E COLOCACAO (OBS.:3%-DESGASTE DE FERRAMENTAS E EPI 23%-ANODIZACAO E ACESSORIOS).</t>
  </si>
  <si>
    <t>00022</t>
  </si>
  <si>
    <t>ALUMINIO EM PERFIL TUBULAR EXTRUDADO, LIGA COMUM</t>
  </si>
  <si>
    <t>07798</t>
  </si>
  <si>
    <t>ARGAMASSA PARA REJUNTAMENTO PIGMENTADA,EMBALAGEM DE 5KG</t>
  </si>
  <si>
    <t>07797</t>
  </si>
  <si>
    <t>ARGAMASSA COLANTE, PARA USO EXTERNO, EMBALAGEM DE 20 KG</t>
  </si>
  <si>
    <t>07796</t>
  </si>
  <si>
    <t>REVESTIMENTO CERAMICO PARA PAREDES, DE (10X10)CM</t>
  </si>
  <si>
    <t>00077</t>
  </si>
  <si>
    <t>AZULEJO BRANCO, BRILHANTE EXTRA, DE (15x15)CM</t>
  </si>
  <si>
    <t>14022</t>
  </si>
  <si>
    <t>GNAISSES REGIAO PEDRA CINZA RJ,SERRADA NAS LATERAIS C/FACE NATURAL (23X11,5)CM,C/ESPESSURA DE REFERENCIA DE 1,50CM</t>
  </si>
  <si>
    <t>Revestimentos  Paredes Externas com Placa Retangular de Granito (Lajinha)</t>
  </si>
  <si>
    <t>00289</t>
  </si>
  <si>
    <t>CABO SOLIDO DE COBRE ELETROLITICO NU, TEMPERA MOLE, CLASSE 2, SECAO CIRCULAR DE10,0 A 500,0MM2</t>
  </si>
  <si>
    <t>03429</t>
  </si>
  <si>
    <t>07.001.0130-1 ARGAMASSA CIM.,SAIBRO,AREIA 1:3:3,PREPARO MANUAL</t>
  </si>
  <si>
    <t>11186</t>
  </si>
  <si>
    <t xml:space="preserve">  </t>
  </si>
  <si>
    <t>PISO EM PORCELANATO RETIFICADO EXTRA, FORMATO MENOR OU IGUAL A 2025 CM2</t>
  </si>
  <si>
    <t>ARGAMASSA COLANTE TIPO ACIII</t>
  </si>
  <si>
    <t>REVESTIMENTO CERÂMICO PARA PISO COM PLACAS TIPO PORCELANATO DE DIMENSÕES APROXIMADAS DE 45X45 CM APLICADA EM AMBIENTES DE ÁREA MENOR QUE 5 M². AF_06/2014</t>
  </si>
  <si>
    <t>RODAPÉS,  SOLEIRAS E  PEITORIS</t>
  </si>
  <si>
    <t>05946</t>
  </si>
  <si>
    <t>05337</t>
  </si>
  <si>
    <t>04317</t>
  </si>
  <si>
    <t>04311</t>
  </si>
  <si>
    <t>LAMPADA FLUORESCENTE TUBULAR, DE 20W</t>
  </si>
  <si>
    <t>APARELHOS SANITÁRIOS</t>
  </si>
  <si>
    <t>DEMOLICAO DE PISO DE ARDÓSIA COM RESPECTIVA CAMADA DE ARGAMASSA DE ASSENTAMENTO, INCLUSIVE EMPILHAMENTO LATERAL DENTRO D O CANTEIRO DE SERVICO (OBS.:3%-DESGASTE DE FERRAMENTAS E EPI).</t>
  </si>
  <si>
    <t>REMOCAO DE COBERTURA EM TELHAS DE FIBROCIMENTO CONVENCIONAL, ONDULADA, INCLUSIVE MADEIRAMENTO, MEDIDO O CONJUNTO PELA AREA REAL DE COBERTURA (OBS.:3%-DESGASTE DE FERRAMENTAS E EPI).</t>
  </si>
  <si>
    <t xml:space="preserve">GRELHA INOX, ESCAMOTEÁVEL, DE 15X15CM   </t>
  </si>
  <si>
    <t>GRELHA INOX, ESCAMOTEÁVEL, DE 15X15CM</t>
  </si>
  <si>
    <t>MASSA ÚNICA, EM ARGAMASSA TRAÇO 1:2:8, PREPARO MECÂNICO COM BETONEIRA 400L, APLICADA MANUALMENTE EM FACES INTERNAS DE PAREDES E TETOS , ESPESSURA DE 20MM, COM EXECUÇÃO DE TALISCAS. AF_06/2014</t>
  </si>
  <si>
    <t>REGULARIZAÇÃO DE SUPERFÍCIE COM EMBOÇO : REBOCO EXTERNO OU INTERNO COM ARGAMASSA DE CIMENTO,CAL HIDRATADA EM PO E AREIA FINA,NO TRACO 1:3:5,COM ESPESSURA DE 3MM, APLICADO SOBRE EMBOCO EXISTENTE,EXCLUSIVE EMBOCO (OBS.:3%-DESGASTE DE FERRAMENTAS E EPI).</t>
  </si>
  <si>
    <t xml:space="preserve">PARTE INTERNA </t>
  </si>
  <si>
    <t xml:space="preserve">PARTE EXTERNA </t>
  </si>
  <si>
    <t>EXECUÇÃO DE PASSEIO (CALÇADA) OU PISO DE CONCRETO COM CONCRETO MOLDADO IN LOCO, FEITO EM OBRA, ACABAMENTO CONVENCIONAL, ESPESSURA 8 CM, ARMADO. AF_07/2016</t>
  </si>
  <si>
    <t>So07156</t>
  </si>
  <si>
    <t>TELA DE ACO SOLDADA NERVURADA, CA-60, Q-196, (3,11 KG/M2), DIAMETRO DO FIO = 5,0 MM, LARGURA =  2,45 M, ESPACAMENTO DA MALHA = 10 X 10 CM</t>
  </si>
  <si>
    <t>SARRAFO DE MADEIRA NAO APARELHADA *2,5 X 10 CM, MACARANDUBA, ANGELIM OU EQUIVALENTE DA REGIAO</t>
  </si>
  <si>
    <t>LONA PLASTICA PRETA, E= 150 MICRA</t>
  </si>
  <si>
    <t>CARPINTEIRO DE FORMAS COM ENCARGOS COMPLEMENTARES</t>
  </si>
  <si>
    <t>So000094964 CONCRETO FCK = 20MPA, TRAÇO 1:2,7:3 (CIMENTO/ AREIA MÉDIA/ BRITA 1)  - PREPARO MECÂNICO COM BETONEIRA 400 L. AF_07/2016</t>
  </si>
  <si>
    <t>CORDOES DE CONCRETO SIMPLES,COM SECAO DE 10X25CM,MOLDADOS NO LOCAL,INCLUSIVE ESCAVACAO E REATERRO (OBS.:3%-DESGASTE DE FERRAMENTAS E EPI).</t>
  </si>
  <si>
    <t>11228</t>
  </si>
  <si>
    <t>PISO CERAMICO TATIL ALERTA, AMARELO, PARA PORTADORES DE NECESSIDADES ESPECIFICAS</t>
  </si>
  <si>
    <t>05350</t>
  </si>
  <si>
    <t>OXIDO DE FERRO</t>
  </si>
  <si>
    <t>REVESTIMENTO DE PISO COM CERAMICA TATIL DIRECIONAL,(LADRILHO HIDRAULICO),PARA PESSOAS COM NECESSIDADES ESPECIFICAS,ASSEN TES SOBRE SUPERFICIE EM OSSO,CONFORME ITEM 13.330.0010 (OBS.:3%-DESGASTE DE FERRAMENTAS E EPI).</t>
  </si>
  <si>
    <t>11227</t>
  </si>
  <si>
    <t>PISO CERAMICO TATIL DIRECIONAL, AMARELO,PARA PORTADORES DE NECESSIDADES ESPECIFICAS</t>
  </si>
  <si>
    <t>PLANTIO DE GRAMA EM PLACAS TIPO ESMERALDA,INCLUSIVE FORNECIMENTO DA GRAMA E TRANSPORTE,EXCLUSIVE PREPARO DO TERRENO E O MATERIAL PARA ESTE (OBS.:3%-DESGASTE DE FERRAMENTAS E EPI).</t>
  </si>
  <si>
    <t>00699</t>
  </si>
  <si>
    <t>GRAMA EM PLACAS, TIPO ESMERALDA, COM TRANSPORTE</t>
  </si>
  <si>
    <t>TERRA ESTRUMADA,INCLUSIVE CARGA,TRANSPORTE E DESCARGA.FORNECIMENTO</t>
  </si>
  <si>
    <t>10896</t>
  </si>
  <si>
    <t>TERRA ESTRUMADA, INCLUINDO CARGA, TRANSPORTE E DESCARGA</t>
  </si>
  <si>
    <t>TERRA ESTRUMADA,INCLUSIVE CARGA,TRANSPORTE E DESCARGA. FORNECIMENTO</t>
  </si>
  <si>
    <t>REVESTIMENTO DE PISO COM CERAMICA TATIL DIRECIONAL ,(LADRILHO HIDRAULICO), PARA PESSOAS COM NECESSIDADES ESPECIFICAS, ASSENTES SOBRE SUPERFICIE EM OSSO, CONFORME ITEM 13.330.0010 (OBS.:3%-DESGASTE DE FERRAMENTAS E EPI).</t>
  </si>
  <si>
    <t xml:space="preserve">PINTURA INTERNA E EXTERNA </t>
  </si>
  <si>
    <t xml:space="preserve">PINTURA EXTERNA </t>
  </si>
  <si>
    <t>PINTURA INTERNA - Paredes</t>
  </si>
  <si>
    <t>PINTURA INTERNA - Tetos</t>
  </si>
  <si>
    <r>
      <t xml:space="preserve">PINTURA COM TINTA ACRILICA ACETINADA,PARA USO HOSPITALAR,SOBRE PAREDES </t>
    </r>
    <r>
      <rPr>
        <strike/>
        <sz val="11"/>
        <rFont val="Times New Roman"/>
        <family val="1"/>
      </rPr>
      <t>E TETOS</t>
    </r>
    <r>
      <rPr>
        <sz val="11"/>
        <rFont val="Times New Roman"/>
        <family val="1"/>
      </rPr>
      <t>,INCLUSIVE LIXAMENTO,UMA DEMAO DE SELADOR ACRILICO,DUAS DEMAOS DE MASSA ACRILICA E DUAS DEMAOS DE ACABAMENTO (OBS.:3%- DESGASTE DE FERRAMENTAS E EPI).</t>
    </r>
  </si>
  <si>
    <t>APLICAÇÃO DE FUNDO SELADOR ACRÍLICO EM PAREDES, UMA DEMÃO. AF_06/2014</t>
  </si>
  <si>
    <t>SELADOR ACRILICO PAREDES INTERNAS/EXTERNAS</t>
  </si>
  <si>
    <t>APLICAÇÃO DE FUNDO SELADOR LÁTEX PVA EM TETO, UMA DEMÃO. AF_06/2014</t>
  </si>
  <si>
    <t>SELADOR PVA PAREDES INTERNAS</t>
  </si>
  <si>
    <t>APLICAÇÃO MANUAL DE PINTURA COM TINTA LÁTEX ACRÍLICA EM PAREDES, DUAS DEMÃOS. AF_06/2014</t>
  </si>
  <si>
    <t>TINTA LATEX PVA PREMIUM, COR BRANCA</t>
  </si>
  <si>
    <t>APLICAÇÃO MANUAL DE MASSA ACRÍLICA EM PAREDES EXTERNAS DE CASAS, DUAS DEMÃOS. AF_05/2017</t>
  </si>
  <si>
    <t>APLICAÇÃO E LIXAMENTO DE MASSA LÁTEX EM TETO, UMA DEMÃO. AF_06/2014</t>
  </si>
  <si>
    <t>MASSA CORRIDA PVA PARA PAREDES INTERNAS</t>
  </si>
  <si>
    <t>18L</t>
  </si>
  <si>
    <t>Inclui : 1 Demão Selador Acrílico + 2 Demãos Massa Acrílica + 2 Demãos de Acabamento</t>
  </si>
  <si>
    <t>PINTURA ESMALTE FOSCO, DUAS DEMAOS, SOBRE SUPERFICIE METALICA, INCLUSO UMA DEMAO DE FUNDO ANTICORROSIVO. UTILIZACAO DE REVOLVER ( AR-COMPRIMIDO).</t>
  </si>
  <si>
    <t>FUNDO ANTICORROSIVO PARA METAIS FERROSOS (ZARCAO)</t>
  </si>
  <si>
    <t>TINTA ESMALTE SINTETICO PREMIUM FOSCO</t>
  </si>
  <si>
    <t>REMOVEDOR DE TINTA OLEO/ESMALTE VERNIZ</t>
  </si>
  <si>
    <t>LIXA EM FOLHA PARA FERRO, NUMERO 150</t>
  </si>
  <si>
    <t>PINTURA COM TINTA ACRILICA ACETINADA,PARA USO HOSPITALAR,SOBRE PAREDES, INCLUSIVE LIXAMENTO,UMA DEMAO DE SELADOR ACRILICO,DUAS DEMAOS DE MASSA ACRILICA E DUAS DEMAOS DE ACABAMENTO (OBS.:3%- DESGASTE DE FERRAMENTAS E EPI).</t>
  </si>
  <si>
    <t>ABRIGO PARA COMPRESSOR</t>
  </si>
  <si>
    <t>CONCRETAGEM DE RADIER, PISO OU LAJE SOBRE SOLO, FCK 30 MPA, PARA ESPESSURA DE 10 CM - LANÇAMENTO, ADENSAMENTO E ACABAMENTO. AF_09/2017</t>
  </si>
  <si>
    <t>CONCRETO USINADO BOMBEAVEL, CLASSE DE RESISTENCIA C30, COM BRITA 0 E 1, SLUMP = 100 +/- 20 MM, INCLUI SERVICO DE BOMBEAMENTO (NBR 8953)</t>
  </si>
  <si>
    <t>LAJE PRE-MOLDADA P/FORRO, SOBRECARGA 100KG/M2, VAOS ATE 3,50M/E=8CM, C/LAJOTAS E CAP.C/CONC FCK=20MPA, 3CM, INTER-EIXO 38CM, C/ESCORAMENTO (REAPR.3X) E FERRAGEM NEGATIVA</t>
  </si>
  <si>
    <t>LAJE PRE-MOLDADA CONVENCIONAL (LAJOTAS + VIGOTAS) PARA FORRO, UNIDIRECIONAL, SOBRECARGA DE 100 KG/M2, VAO ATE 4,00 M (SEM COLOCACAO)</t>
  </si>
  <si>
    <t>ACO CA-60, 5,0 MM, VERGALHAO</t>
  </si>
  <si>
    <t>05845</t>
  </si>
  <si>
    <t>ACO CA-50, ESTIRADO, PRECO DE REVENDEDOR, NO DIAMETRO DE 08,0MM</t>
  </si>
  <si>
    <t>05844</t>
  </si>
  <si>
    <t>ACO CA-50, ESTIRADO, PRECO DE REVENDEDOR, NO DIAMETRO DE 06,3MM</t>
  </si>
  <si>
    <t>02249</t>
  </si>
  <si>
    <t>00021</t>
  </si>
  <si>
    <t>ACO CA-50, ESTIRADO, PRECO DE REVENDEDOR, NO DIAMETRO, DE 25,0MM</t>
  </si>
  <si>
    <t>00019</t>
  </si>
  <si>
    <t>ACO CA-50, ESTIRADO, PRECO DE REVENDEDOR, NO DIAMETRO DE 16,0MM</t>
  </si>
  <si>
    <t>00018</t>
  </si>
  <si>
    <t>ACO CA-50, ESTIRADO, PRECO DE REVENDEDOR, NO DIAMETRO DE 12,5MM</t>
  </si>
  <si>
    <t>00017</t>
  </si>
  <si>
    <t>ACO CA-50, ESTIRADO, PRECO DE REVENDEDOR, NO DIAMETRO DE 10,0MM</t>
  </si>
  <si>
    <t>00004</t>
  </si>
  <si>
    <t>ARAME RECOZIDO N§ 18</t>
  </si>
  <si>
    <r>
      <t xml:space="preserve">DEMOLICAO DE PISO DE  ARDÓSIA            </t>
    </r>
    <r>
      <rPr>
        <strike/>
        <sz val="11"/>
        <color indexed="8"/>
        <rFont val="Times New Roman"/>
        <family val="1"/>
      </rPr>
      <t>LADRILHO</t>
    </r>
    <r>
      <rPr>
        <sz val="11"/>
        <color indexed="8"/>
        <rFont val="Times New Roman"/>
        <family val="1"/>
      </rPr>
      <t xml:space="preserve"> COM RESPECTIVA CAMADA DE ARGAMASSA DE ASSENTAMENTO,INCLUSIVE EMPILHAMENTO LATERAL DENTRO D O CANTEIRO DE SERVICO (OBS.:3%-DESGASTE DE FERRAMENTAS E EPI).</t>
    </r>
  </si>
  <si>
    <t>DUCHINHA MANUAL,COM REGISTRO DE PRESSAO 1/2" CROMADO,RABICHO CROMADO,SUPORTE BRANCO,PISTOLA BRANCA,BUCHAS E PARAFUSOS PARA FIXACAO. FORNECIMENTO E INSTALAÇÃO</t>
  </si>
  <si>
    <r>
      <t xml:space="preserve">GRELHA INOX, ESCAMOTEÁVEL, DE 15X15CM. FORNECIMENTO E INSTALAÇÃO.       </t>
    </r>
    <r>
      <rPr>
        <strike/>
        <sz val="11"/>
        <rFont val="Times New Roman"/>
        <family val="1"/>
      </rPr>
      <t xml:space="preserve"> RALO SIFONADO, PVC, DN 100 X 40 MM, JUNTA SOLDÁVEL, FORNECIDO E INSTALADO EM RAMAL DE DESCARGA OU EM RAMAL DE ESGOTO SANITÁRIO</t>
    </r>
    <r>
      <rPr>
        <sz val="11"/>
        <rFont val="Times New Roman"/>
        <family val="1"/>
      </rPr>
      <t>. AF_12/2014</t>
    </r>
  </si>
  <si>
    <t>REVESTIMENTO CERÂMICO PARA PISO COM PLACAS TIPO PORCELANATO DE DIMENSÕES 45X45 CM APLICADA EM AMBIENTES DE ÁREA MENOR QUE 5 M². AF_06/2014</t>
  </si>
  <si>
    <t xml:space="preserve">RODAPÉ DE MARMORITE </t>
  </si>
  <si>
    <t xml:space="preserve">SOLEIRA DE MARMORITE - 15 cm </t>
  </si>
  <si>
    <t>ALAMBRADO PARA QUADRA POLIESPORTIVA, ESTRUTURADO POR TUBOS DE ACO GALVANIZADO, COM COSTURA, DIN 2440, DIAMETRO 2", COM TELA DE ARAME GALVANIZADO, FIO 14 BWG E MALHA QUADRADA 5X5CM</t>
  </si>
  <si>
    <t>TUBO ACO GALVANIZADO COM COSTURA, CLASSE MEDIA, DN 2", E = *3,65* MM, PESO *5,10* KG/M (NBR 5580)</t>
  </si>
  <si>
    <t>TELA DE ARAME GALV QUADRANGULAR / LOSANGULAR,  FIO 2,11 MM (14 BWG), MALHA  5 X 5 CM, H = 2 M</t>
  </si>
  <si>
    <t>ARAME GALVANIZADO 10 BWG, 3,40 MM (0,0713 KG/M)</t>
  </si>
  <si>
    <t>ARAME GALVANIZADO 14 BWG, D = 2,11 MM (0,026 KG/M)</t>
  </si>
  <si>
    <t>SERRALHEIRO COM ENCARGOS COMPLEMENTARES</t>
  </si>
  <si>
    <t>RUFO EM FIBROCIMENTO (50 ETERNIT,  COM 615 MM DE LARGURA) PARA TELHA MODULAR DE CIMENTO, SEM AMIANTO, INCLUSO TRANSPORTE VERTICAL. AF_06/2016</t>
  </si>
  <si>
    <t>CALÇO PLÁSTICO COM VENTILAÇÃO, PARA TELHA MODULADA DE CIMENTO, SEM AMIANTO, COM 423 MM DE LARGURA, INCLUSO TRANSPORTE VERTICAL. AF_06/2016</t>
  </si>
  <si>
    <r>
      <t>RUFO EM FIBROCIMENTO (50 ETERNIT, COM 615 MM DE LARGURA) PARA TELHA MODULAR DE CIMENTO, SEM AMIANTO</t>
    </r>
    <r>
      <rPr>
        <strike/>
        <sz val="11"/>
        <color indexed="8"/>
        <rFont val="Times New Roman"/>
        <family val="1"/>
      </rPr>
      <t xml:space="preserve"> ONDULADA E = 6 MM, ABA DE 26 CM,</t>
    </r>
    <r>
      <rPr>
        <sz val="11"/>
        <color indexed="8"/>
        <rFont val="Times New Roman"/>
        <family val="1"/>
      </rPr>
      <t xml:space="preserve"> INCLUSO TRANSPORTE VERTICAL. AF_06/2016</t>
    </r>
  </si>
  <si>
    <t xml:space="preserve">RUFO EM FIBROCIMENTO (50 ETERNIT, OU SIMILAR, COM 615 MM DE LARGURA) </t>
  </si>
  <si>
    <r>
      <t xml:space="preserve">CALÇO PLÁSTICO COM VENTILAÇÃO, PARA TELHA MODULADA DE CIMENTO, SEM AMIANTO, COM 423 MM DE LARGURA,     </t>
    </r>
    <r>
      <rPr>
        <strike/>
        <sz val="11"/>
        <color indexed="8"/>
        <rFont val="Times New Roman"/>
        <family val="1"/>
      </rPr>
      <t>RUFO EM FIBROCIMENTO PARA TELHA ONDULADA E = 6 MM, ABA DE 26 CM</t>
    </r>
    <r>
      <rPr>
        <sz val="11"/>
        <color indexed="8"/>
        <rFont val="Times New Roman"/>
        <family val="1"/>
      </rPr>
      <t>, INCLUSO TRANSPORTE VERTICAL. AF_06/2016</t>
    </r>
  </si>
  <si>
    <t>CALÇO PLÁSTICO COM VENTILAÇÃO, PARA TELHA MODULADA DE CIMENTO, SEM AMIANTO, COM 423 MM DE LARGURA</t>
  </si>
  <si>
    <t>DUCHINHA MANUAL,COM REGISTRO DE PRESSAO 1/2" CROMADO,RABICHO CROMADO,SUPORTE BRANCO,PISTOLA BRANCA,BUCHAS E PARAFUSOS PA RA FIXACAO. FORNECIMENTO E INSTALAÇÃO</t>
  </si>
  <si>
    <t>Arqª Valeria V. M. de Camargo (CAU A11074-4)</t>
  </si>
  <si>
    <t>Engº Eros dos Santos</t>
  </si>
  <si>
    <t>Contrato de Repasse nº   851743 / 2017                  (SICONV)</t>
  </si>
  <si>
    <t>CRONOGRAMA  FÍSICO-FINANCEIRO</t>
  </si>
  <si>
    <t>SERVIÇO</t>
  </si>
  <si>
    <t xml:space="preserve">Desembolso </t>
  </si>
  <si>
    <t>Físico</t>
  </si>
  <si>
    <t>1º Mês</t>
  </si>
  <si>
    <t>2º Mês</t>
  </si>
  <si>
    <t>3º Mês</t>
  </si>
  <si>
    <t>4º Mês</t>
  </si>
  <si>
    <t>Financeiro</t>
  </si>
  <si>
    <t>Financ.</t>
  </si>
  <si>
    <t>R$</t>
  </si>
  <si>
    <t>TOTAL POR MEDIÇÃO</t>
  </si>
  <si>
    <t>TOTAL  ACUMULADO</t>
  </si>
  <si>
    <t>Orç. Nº</t>
  </si>
  <si>
    <t>Data</t>
  </si>
  <si>
    <t>Rev. Nº</t>
  </si>
  <si>
    <t>REMOÇÃO DE FORRO DE GESSO, DE FORMA MANUAL, SEM REAPROVEITAMENTO. AF_12/2017</t>
  </si>
  <si>
    <t>GESSEIRO COM ENCARGOS COMPLEMENTARES</t>
  </si>
  <si>
    <t>11181</t>
  </si>
  <si>
    <t>PEITORIL EM GRANITO CINZA ANDORINHA, (28X2)CM</t>
  </si>
  <si>
    <t>Para Arrancamento e Recoloção, aumentar em 50,0% a Mão-de-Obra :</t>
  </si>
  <si>
    <r>
      <t xml:space="preserve">Arrancamento e Recolocação : PEITORIL EM GRANITO CINZA ANDORINHA,ESPESSURA DE 2CM,LARGURA DE  30CM     </t>
    </r>
    <r>
      <rPr>
        <strike/>
        <sz val="11"/>
        <color indexed="8"/>
        <rFont val="Times New Roman"/>
        <family val="1"/>
      </rPr>
      <t xml:space="preserve"> 28CM</t>
    </r>
    <r>
      <rPr>
        <sz val="11"/>
        <color indexed="8"/>
        <rFont val="Times New Roman"/>
        <family val="1"/>
      </rPr>
      <t>,ASSENTADO COM NATA DE CIMENTO SOBRE ARGAMASSA DE CI MENTO,SAIBRO E AREIA,NO TRACO 1:3:3 E REJUNTAMENTO COM CIMENTO BRANCO (OBS.:3%-DESGASTE DE FERRAMENTAS E EPI).</t>
    </r>
  </si>
  <si>
    <t>Arrancamento e Recolocação : PEITORIL EM GRANITO CINZA ANDORINHA, ESPESSURA DE 2CM, ARGURA DE  30CM, ASSENTADO COM NATA DE CIMENTO SOBRE ARGAMASSA DE CI MENTO, SAIBRO E AREIA, NO TRACO 1:3:3 E REJUNTAMENTO COM CIMENTO BRANCO (OBS.:3%-DESGASTE DE FERRAMENTAS E EPI).</t>
  </si>
  <si>
    <t>CONCRETO FCK = 25MPA, TRAÇO 1:2,3:2,7 (CIMENTO/ AREIA MÉDIA/ BRITA 1)  - PREPARO MECÂNICO COM BETONEIRA 400 L. AF_07/2016</t>
  </si>
  <si>
    <t>PEDRA BRITADA N. 1 (9,5 a 19 MM) POSTO PEDREIRA/FORNECEDOR, SEM FRETE</t>
  </si>
  <si>
    <t>CIMENTO PORTLAND COMPOSTO CP II-32</t>
  </si>
  <si>
    <t>AREIA MEDIA - POSTO JAZIDA/FORNECEDOR (RETIRADO NA JAZIDA, SEM TRANSPORTE)</t>
  </si>
  <si>
    <t>OPERADOR DE BETONEIRA ESTACIONÁRIA/MISTURADOR COM ENCARGOS COMPLEMENTARES</t>
  </si>
  <si>
    <t>So000088831 BETONEIRA CAPACIDADE NOMINAL DE 400 L, CAPACIDADE DE MISTURA 280 L, MOTOR ELÉTRICO TRIFÁSICO POTÊNCIA DE 2 CV, SEM CARREGADOR - CHI DIURNO. AF_10/2014</t>
  </si>
  <si>
    <t>So000088830 BETONEIRA CAPACIDADE NOMINAL DE 400 L, CAPACIDADE DE MISTURA 280 L, MOTOR ELÉTRICO TRIFÁSICO POTÊNCIA DE 2 CV, SEM CARREGADOR - CHP DIURNO. AF_10/2014</t>
  </si>
  <si>
    <t>LANCAMENTO/APLICACAO MANUAL DE CONCRETO EM FUNDACOES</t>
  </si>
  <si>
    <t xml:space="preserve">Preparo, Lançamento e Adensamento </t>
  </si>
  <si>
    <t>por m3</t>
  </si>
  <si>
    <t>SILICONE ACETICO USO GERAL INCOLOR 280 G</t>
  </si>
  <si>
    <t>JANELA DE CORRER EM ALUMINIO, 120 X 120 CM (A X L), 2 FLS, SEM BANDEIRA, ACABAMENTO ACET OU BRILHANTE,  BATENTE/REQUADRO DE 6 A 14 CM, COM VIDRO, SEM GUARNICAO/ALIZAR</t>
  </si>
  <si>
    <t>PARAFUSO DE ACO ZINCADO COM ROSCA SOBERBA, CABECA CHATA E FENDA SIMPLES, DIAMETRO 4,2 MM, COMPRIMENTO * 32 * MM</t>
  </si>
  <si>
    <r>
      <t xml:space="preserve">Arrancamento e Recolocação de JANELA DE ALUMÍNIO GUILHOTINA      </t>
    </r>
    <r>
      <rPr>
        <strike/>
        <sz val="11"/>
        <color indexed="8"/>
        <rFont val="Times New Roman"/>
        <family val="1"/>
      </rPr>
      <t xml:space="preserve"> DE CORRER</t>
    </r>
    <r>
      <rPr>
        <sz val="11"/>
        <color indexed="8"/>
        <rFont val="Times New Roman"/>
        <family val="1"/>
      </rPr>
      <t>, 2 FOLHAS, FIXAÇÃO COM PARAFUSO SOBRE CONTRAMARCO (EXCLUSIVE CONTRAMARCO), COM VIDROS PADRONIZADA. AF_07/2016</t>
    </r>
  </si>
  <si>
    <t>CABIDE SIMPLES,DE SOBREPOR,EM METAL CROMADO.FORNECIMENTO E COLOCACAO (OBS.:3%-DESGASTE DE FERRAMENTAS E EPI).</t>
  </si>
  <si>
    <t>07892</t>
  </si>
  <si>
    <t>CABIDE SIMPLES, DE SOBREPOR, EM METAL CROMADO</t>
  </si>
  <si>
    <t>13986</t>
  </si>
  <si>
    <t>POLIUREIA PURA AROMATICA</t>
  </si>
  <si>
    <t>IMPERMEABILIZACAO / REVESTIMENTO DE LAJES, TANQUES, PISCINAS, RESERVATORIOS, ARQUIBANCADAS, ESTACIONAMENTOS, A BASE DE POLIUREIA , ISENTO DE SOLVENTES, MOLDADO NO LOCAL ,CURA RAPIDA, A QUENTE, APLICADO COM EQUIPAMENTO BICOMPONENTE TIPO HOT SPRAY, COM 2,50 MM DE ESPESSURA, SEM PROTECAO MECANICA (OBS.:3%-DESGASTE DE FERRAMENTAS E EPI 30%-EQUIPAMENTO HOT SPRAY).</t>
  </si>
  <si>
    <t>REMOÇÃO DE LUMINÁRIAS E VENTILADORES, DE FORMA MANUAL, SEM REAPROVEITAMENTO. AF_12/2017</t>
  </si>
  <si>
    <t>TORNEIRA DE PAREDE, PARA LAVATÓRIO / BANCADA, CROMADA . H=157MM; C=296MM; L=50MM</t>
  </si>
  <si>
    <t>TORNEIRA DE PAREDE, PARA LAVATÓRIO / BANCADA, CROMADA . H=157MM; C=296MM; L=50MM. FORNECIMENTO E INSTALAÇÃO. AF_12/2013</t>
  </si>
  <si>
    <t>PORTA EM ALUMÍNIO DE ABRIR E DE CORRER TIPO VENEZIANA COM GUARNIÇÃO, FIXAÇÃO COM PARAFUSOS - FORNECIMENTO E INSTALAÇÃO. AF_08/2015</t>
  </si>
  <si>
    <t>GUARDA-CORPO EM TUBO DE ACO GALVANIZADO 1 1/2"</t>
  </si>
  <si>
    <t>TUBO ACO GALVANIZADO COM COSTURA, CLASSE MEDIA, DN 1.1/2", E = *3,25* MM, PESO *3,61* KG/M (NBR 5580)</t>
  </si>
  <si>
    <t>14541</t>
  </si>
  <si>
    <t>BRITA 0, PARA REGIAO METROPOLITANA DO RIO DE JANEIRO</t>
  </si>
  <si>
    <t>T</t>
  </si>
  <si>
    <t>05349</t>
  </si>
  <si>
    <t>ARGAMASSA DE CIMENTO, AREIA DE QUARTZO EADITIVOS</t>
  </si>
  <si>
    <t>REATERRO MANUAL APILOADO COM SOQUETE. AF_10/2017</t>
  </si>
  <si>
    <t>FERRAGENS P/PORTA 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</si>
  <si>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PEITORIL EM GRANITO CINZA ANDORINHA,ESPESSURA DE 2CM,LARGURA 15 A 18CM,ASSENTADO COM NATA DE CIMENTO SOBRE ARGAMASSA DE CIMENTO,SAIBRO E AREIA,NO TRACO 1:3:3 E REJUNTAMENTO COM CIMENTO BRANCO (OBS.:3%-DESGASTE DE FERRAMENTAS E EPI).</t>
  </si>
  <si>
    <t>11200</t>
  </si>
  <si>
    <t>PEITORIL GRANITO CINZA ANDORINHA, 18X2CM</t>
  </si>
  <si>
    <t>CONCRETO ARMADO, FCK=20MPA , INCLUINDO MATERIAIS PARA 1,00M3 DE CONCRETO ADENSADO E COLOCADO, 14,00M2 DE AREA MOLDADA, FORMAS E ESCORAMENTO CONFORME ITENS 11.004.0022E 11.004.0035,60KG DE ACO CA-50, INCLUSIVE MAO-DE-OBRA PARA CORTE, DOBRAGEM,MONTAGEM E COLOCACAO NAS FORMAS (OBS.:3%-DESGASTE DE FERRAMENTAS E EPI).</t>
  </si>
  <si>
    <t>LUMINARIA DE SOBREPOR, FIXADA EM LAJE OU FORRO, TIPO CALHA, CHANFRADA OU PRISMATICA, ESMALTADA, COMPLETA,EQUIPADA COM REATOR ELETRONICO DE ALTO FATOR DE POTENCIA (AFP&gt;=0,92) E LAMPADA LED TUBULAR BIVOLT 9/10 W. FORNECIMENTO E COLOCACAO (OBS.:3%-DESGASTE DE FERRAMENTAS E EPI).</t>
  </si>
  <si>
    <t>Arrancamento e Recolocação de JANELA DE ALUMÍNIO GUILHOTINA, 2 FOLHAS, FIXAÇÃO COM PARAFUSO SOBRE CONTRAMARCO (EXCLUSIVE CONTRAMARCO), COM VIDROS PADRONIZADA. AF_07/2016</t>
  </si>
  <si>
    <t>CANTONEIRA DE ALUMINIO 2"X2", PARA PROTECAO DE QUINA DE PAREDE</t>
  </si>
  <si>
    <t>CANTONEIRA ALUMINIO ABAS IGUAIS 2 ", E = 1/8 "</t>
  </si>
  <si>
    <t>CONCRETO ARMADO, FCK=20MPA, INCLUINDO MATERIAIS PARA 1,00M3 DE CONCRETO ADENSADO E COLOCADO, 14,00M2 DE AREA MOLDADA, FORMAS E ESCORAMENTO CONFORME ITENS 11.004.0022 E 11.004.0035, 60KG DE ACO CA-50, INCLUSIVE MAO-DE-OBRA PARA CORTE, DOBRAGEM,MONTAGEM E COLOCACAO NAS FORMAS (OBS.:3%-DESGASTE DE FERRAMENTAS E EPI).</t>
  </si>
  <si>
    <t>REPARO ESTRUTURAL : GROUT (ARGAMASSA FLUIDA DE ELEVADA RESISTENCIA) COM PEDRISCO (30% EM PESO), INCLUSIVE PREPARO, LANCAMENTO E FORNECIMENTO DOS MATERIAIS</t>
  </si>
  <si>
    <t>TUBO DE PVC RIGIDO DE 50MM,SOLDAVEL,EXCLUSIVE CONEXOES,EMENDAS,ABERTURA E FECHAMENTO DE RASGO.FORNECIMENTO E ASSENTAMENT O (OBS.:3%-DESGASTE DE FERRAMENTAS E EPI).</t>
  </si>
  <si>
    <t>05694</t>
  </si>
  <si>
    <t>TUBO DE PVC RIGIDO SOLDAVEL, PONTA/BOLSA, EM BARRAS DE 6,00M, DE 050MM</t>
  </si>
  <si>
    <t>01993</t>
  </si>
  <si>
    <t>MAO-DE-OBRA DE BOMBEIRO HIDRAULICO DA CONSTRUCAO CIVIL, INCLUSIVE ENCARGOS SOCIAIS</t>
  </si>
  <si>
    <t>15.036.0028-0</t>
  </si>
  <si>
    <t>TUBO DE PVC RIGIDO DE 25MM,SOLDAVEL,EXCLUSIVE CONEXOES,EMENDAS,ABERTURA E FECHAMENTO DE RASGO.FORNECIMENTO E ASSENTAMENT O (OBS.:3%-DESGASTE DE FERRAMENTAS E EPI).</t>
  </si>
  <si>
    <t>05031</t>
  </si>
  <si>
    <t>TUBO DE PVC RIGIDO SOLDAVEL, PONTA/BOLSAC/VIROLA, EM BARRAS DE 6,00M, DE 025MM</t>
  </si>
  <si>
    <t>15.038.0456-0</t>
  </si>
  <si>
    <t>JOELHO 90§ SOLDAVEL E COM BUCHA DE LATAO,COM DIAMETRO DE 25MMX1/2".FORNECIMENTO</t>
  </si>
  <si>
    <t>05780</t>
  </si>
  <si>
    <t>JOELHO 90§ DE PVC SOLDAVEL COM BUCHA DELATAO, DE 25MMX1/2"</t>
  </si>
  <si>
    <t>15.038.0339-0</t>
  </si>
  <si>
    <t>JOELHO 90§ SOLDAVEL,COM DIAMETRO DE 50MM.FORNECIMENTO</t>
  </si>
  <si>
    <t>07132</t>
  </si>
  <si>
    <t>JOELHO 90§ DE PVC SOLDAVEL, DE 050MM</t>
  </si>
  <si>
    <t>15.038.0336-0</t>
  </si>
  <si>
    <t>JOELHO 90§ SOLDAVEL,COM DIAMETRO DE 25MM.FORNECIMENTO</t>
  </si>
  <si>
    <t>05734</t>
  </si>
  <si>
    <t>JOELHO 90§ DE PVC SOLDAVEL, DE 025MM</t>
  </si>
  <si>
    <t>15.038.0404-0</t>
  </si>
  <si>
    <t>TE DE REDUCAO 90§ SOLDAVEL,COM DIAMETRO DE 50MMX25MM.FORNECIMENTO</t>
  </si>
  <si>
    <t>07140</t>
  </si>
  <si>
    <t>TE 90§ DE PVC RIGIDO SOLDAVEL, DE REDUCAO, DE (050X025)MM</t>
  </si>
  <si>
    <t>15.038.0206-0</t>
  </si>
  <si>
    <t>ADAPTADOR SOLDAVEL CURTO COM BOLSA E ROSCA PARA REGISTRO,COM DIAMETRO DE 50MMX1.1/2".FORNECIMENTO</t>
  </si>
  <si>
    <t>07141</t>
  </si>
  <si>
    <t>ADAPTADOR DE PVC, SOLDAVEL CURTO, COM BOLSA E ROSCA PARA REGISTRO, DE 050MMX1.1/2"</t>
  </si>
  <si>
    <t>REGISTRO DE GAVETA BRUTO, LATÃO, ROSCÁVEL, 1 1/2, COM ACABAMENTO E CANOPLA CROMADOS, INSTALADO EM RESERVAÇÃO DE ÁGUA DE EDIFICAÇÃO QUE POSSUA RESERVATÓRIO DE FIBRA/FIBROCIMENTO  FORNECIMENTO E INSTALAÇÃO. AF_06/2016</t>
  </si>
  <si>
    <t>REGISTRO GAVETA COM ACABAMENTO E CANOPLA CROMADOS, SIMPLES, BITOLA 1 1/2 " (REF 1509)</t>
  </si>
  <si>
    <t>FITA VEDA ROSCA EM ROLOS DE 18 MM X 50 M (L X C)</t>
  </si>
  <si>
    <t>15.038.0440-0</t>
  </si>
  <si>
    <t>LUVA SOLDAVEL E COM ROSCA,COM DIAMETRO DE 50MMX1.1/2".FORNECIMENTO</t>
  </si>
  <si>
    <t>13077</t>
  </si>
  <si>
    <t>LUVA DE PVC, SOLDAVEL E COM ROSCA, DE 50MMX1 1/2"</t>
  </si>
  <si>
    <t>15.038.0174-0</t>
  </si>
  <si>
    <t>UNIAO COM ROSCA,COM DIAMETRO DE 1.1/2".FORNECIMENTO</t>
  </si>
  <si>
    <t>05141</t>
  </si>
  <si>
    <t>UNIAO DE PVC RIGIDO COM ROSCA, DE 1.1/2"</t>
  </si>
  <si>
    <t>ASSENTAMENTO DE PECAS E ACESSORIOS DE PVC RIGIDO,COM JUNTA ELASTICA,COM DIAMETRO NOMINAL DE ATÉ  50MM,EXCLUSIVE PECAS E JUNTA S ELASTICAS.CUSTO POR BOLSA (OBS.:3%-DESGASTE DE FERRAMENTAS E EPI).</t>
  </si>
  <si>
    <t>TUBO DE PVC RIGIDO DE 100MM,SOLDAVEL,EXCLUSIVE EMENDAS,CONEXOES,ABERTURA E FECHAMENTO DE RASGO.FORNECIMENTO E ASSENTAMEN TO (OBS.:3%-DESGASTE DE FERRAMENTAS E EPI).</t>
  </si>
  <si>
    <t>02617</t>
  </si>
  <si>
    <t>TUBO DE PVC RIGIDO, PONTA/BOLSA COM VIROLA, EM BARRAS DE 6,00M, DE 100MM</t>
  </si>
  <si>
    <t>TUBO DE PVC RIGIDO DE 50MM,SOLDAVEL,EXCLUSIVE EMENDAS,CONEXOES,ABERTURA E FECHAMENTO DE RASGO.FORNECIMENTO E ASSENTAMENT O (OBS.:3%-DESGASTE DE FERRAMENTAS E EPI).</t>
  </si>
  <si>
    <t>02615</t>
  </si>
  <si>
    <t>TUBO DE PVC RIGIDO, PONTA/BOLSA COM VIROLA, EM BARRAS DE 6,00M, DE 050MM</t>
  </si>
  <si>
    <t>TUBO DE PVC RIGIDO DE 40MM,SOLDAVEL,EXCLUSIVE EMENDAS,CONEXOES,ABERTURA E FECHAMENTO DE RASGO.FORNECIMENTO E ASSENTAMENT O (OBS.:3%-DESGASTE DE FERRAMENTAS E EPI).</t>
  </si>
  <si>
    <t>02614</t>
  </si>
  <si>
    <t>TUBO DE PVC RIGIDO SOLDAVEL, PONTA/BOLSA, PARA ESGOTO, EM BARRAS DE 6,00M, DE 040MM</t>
  </si>
  <si>
    <t>JOELHO 45§ SOLDAVEL,COM DIAMETRO DE 50MM.FORNECIMENTO</t>
  </si>
  <si>
    <t>13006</t>
  </si>
  <si>
    <t>JOELHO 45ø DE PVC, SOLDAVEL, DE 50MM</t>
  </si>
  <si>
    <t>JOELHO 45§ SOLDAVEL,COM DIAMETRO DE 40MM.FORNECIMENTO</t>
  </si>
  <si>
    <t>13005</t>
  </si>
  <si>
    <t>JOELHO 45ø DE PVC, SOLDAVEL, DE 40MM</t>
  </si>
  <si>
    <t>RALO SIFONADO DE PVC(100X100)X50MM,EM PAVIMENTO TERREO,COM TAMPA CEGA,COM 1 ENTRADA DE 40MM E SAIDA DE 50MM,INCLUSIVE LI GACAO DE 50MM DE PVC ATE A CAIXA DE INSPECAO,CONSIDERANDO ADISTANCIA DO CENTRO DO RALO ATE 2,00M.FORNECIMENTO E INSTALA CAO (OBS.:3%-DESGASTE DE FERRAMENTAS E EPI).</t>
  </si>
  <si>
    <t>07076</t>
  </si>
  <si>
    <t>RALO SIFONADO DE PVC RIGIDO, DE (100X100)MM, COM SAIDA DE 50MM, COM TAMPA CEGA</t>
  </si>
  <si>
    <t>05791</t>
  </si>
  <si>
    <t>JOELHO 90§ DE PVC, PARA ESGOTO, DE 040MM</t>
  </si>
  <si>
    <t>02832</t>
  </si>
  <si>
    <t>ANEL DE BORRACHA, PARA TUBO DE PVC-ESGOTO PRIMARIO, DE 040MM</t>
  </si>
  <si>
    <t>CORTE E COLOCACAO DE CONEXOES EM TUBO DE PVC RIGIDO,ESGOTO,SOLDAVEL,COM DIAMETRO DE 40MM,EXCLUSIVE A PECA (OBS.:3%-DESGASTE DE FERRAMENTAS E EPI).</t>
  </si>
  <si>
    <t>CORTE E COLOCACAO DE CONEXOES EM TUBO DE PVC RIGIDO,ESGOTO,SOLDAVEL,COM DIAMETRO DE 50MM,EXCLUSIVE A PECA (OBS.:3%-DESGASTE DE FERRAMENTAS E EPI).</t>
  </si>
  <si>
    <t xml:space="preserve">INSTALAÇÕES HIDRÁULICAS </t>
  </si>
  <si>
    <t>ÁGUA</t>
  </si>
  <si>
    <t>ESGOTO</t>
  </si>
  <si>
    <t xml:space="preserve">Água </t>
  </si>
  <si>
    <t>Esgoto</t>
  </si>
  <si>
    <t>RASGO NO PISO PARA TUBULAÇÃO : DEMOLICAO MANUAL DE CONCRETO SIMPLES COM EMPILHAMENTO LATERAL DENTRO DO CANTEIRO DE SERVICO (OBS.:3%-DESGASTE DE FERRAMENTAS E EPI).</t>
  </si>
  <si>
    <t>CONCRETO FCK = 20MPA, TRAÇO 1:2,7:3 (CIMENTO/ AREIA MÉDIA/ BRITA 1)  - PREPARO MECÂNICO COM BETONEIRA 400 L. AF_07/2016</t>
  </si>
  <si>
    <t xml:space="preserve">TOTAL GERAL </t>
  </si>
  <si>
    <t>(Preparao + Lançamento + Adensamento) : CONCRETO FCK = 20MPA, TRAÇO 1:2,7:3 (CIMENTO/ AREIA MÉDIA/ BRITA 1)  - PREPARO MECÂNICO COM BETONEIRA 400 L. AF_07/2016</t>
  </si>
  <si>
    <t>15.038.0389-0</t>
  </si>
  <si>
    <t>TE SOLDAVEL 90§,COM DIAMETRO DE 50MM.FORNECIMENTO</t>
  </si>
  <si>
    <t>07137</t>
  </si>
  <si>
    <t>TE 90§ DE PVC RIGIDO SOLDAVEL, DE 050MM</t>
  </si>
  <si>
    <t>15.038.0386-0</t>
  </si>
  <si>
    <t>TE SOLDAVEL 90§,COM DIAMETRO DE 25MM.FORNECIMENTO</t>
  </si>
  <si>
    <t>05732</t>
  </si>
  <si>
    <t>TE 90§ DE PVC RIGIDO SOLDAVEL, DE 025MM</t>
  </si>
  <si>
    <t>ASSENTAMENTO DE PECAS E ACESSORIOS DE PVC RIGIDO,COM JUNTA ELASTICA,COM DIAMETRO NOMINAL DE 50MM,EXCLUSIVE PECAS E JUNTA S ELASTICAS.CUSTO POR BOLSA (OBS.:3%-DESGASTE DE FERRAMENTAS E EPI).</t>
  </si>
  <si>
    <t>RASGO EM ALVENARIA PARA RAMAIS/ DISTRIBUIÇÃO COM DIAMETROS MENORES OU IGUAIS A 40 MM. AF_05/2015</t>
  </si>
  <si>
    <t>Engº  Alfredo A. N. M. Cunha   -     (CREA-RJ   1997101434)</t>
  </si>
  <si>
    <t xml:space="preserve">Obra : Reforma de Unidade de Atenção Especializada em Saúde - SIRENE II - Vila Nova  </t>
  </si>
  <si>
    <t>REVESTIMENTO DE PAREDES COM CERAMICA BRANCA OU COLORIDA,10X10CM, TELADA, PLACA 30X30CM,ASSENTE COM ARGAMASSA COLANTE, REJUNTAMENTO COM ARGAMASSA INDUSTRIALIZADA, EXCLUSIVE CHAPISCO E EMBOCO</t>
  </si>
  <si>
    <t>REVESTIMENTO DE PAREDES COM AZULEJO BRANCO 15X15CM,QUALIDADE EXTRA,ASSENTES COM NATA DE CIMENTO COMUM,TENDO JUNTAS CORRI DAS COM 2MM,REJUNTADAS COM PASTA DE CIMENTO BRANCO,EXCLUSIVECHAPISCO E EMBOCO (OBS.:3%-DESGASTE DE FERRAMENTAS E EPI).</t>
  </si>
  <si>
    <t>CABO DE ACO GALVANIZADO, DIAMETRO 9,53 MM (3/8"), COM ALMA DE FIBRA 6 X 25 F  (COLETADO CAIXA)</t>
  </si>
  <si>
    <t>ARRANCAMENTO DE GRADES,GRADIS,ALAMBRADOS,CERCAS E PORTOES (OBS.:3%-DESGASTE DE FERRAMENTAS E EPI).</t>
  </si>
  <si>
    <t>CONCRETO ARMADO,FCK=20MPA,INCLUINDO MATERIAIS PARA 1,00M3 DE CONCRETO(IMPORTADO DE USINA)ADENSADO E COLOCADO,14,00M2 DE AREA MOLDADA,FORMAS E ESCORAMENTO CONFORME ITENS 11.004.0022E 11.004.0035,60KG DE ACO CA-50,INCLUSIVE MAO-DE-OBRA PARA CORTE,DOBRAGEM,MONTAGEM E COLOCACAO NAS FORMAS (OBS.:3%-DESGASTE DE FERRAMENTAS E EPI).</t>
  </si>
  <si>
    <t>CONCRETO IMPORTADO DE USINA, UTILIZANDOBRITA 1, DE 20MPA</t>
  </si>
  <si>
    <t>LAVATORIO DE LOUCA BRANCA,TIPO MEDIO LUXO,COM LADRAO,COM MEDIDAS EM TORNO DE 47X35CM,INCLUSIVE ACESSORIOS DE FIXACAO.FER RAGENS EM METAL CROMADO:SIFAO 1680 DE 1"X1.1/4",TORNEIRA DEPRESSAO 1193 DE 1/2" E VALVULA DE ESCOAMENTO 1603.RABICHO EM PVC.FORNECIMENTO</t>
  </si>
  <si>
    <t>FORRO EM PLACAS DE GESSO, PARA AMBIENTES COMERCIAIS. AF_05/2017_P</t>
  </si>
  <si>
    <t>PARAFUSO ZINCADO, AUTOBROCANTE, FLANGEADO, 4,2 X 19"</t>
  </si>
  <si>
    <t>CENTO</t>
  </si>
  <si>
    <t>SISAL EM FIBRA</t>
  </si>
  <si>
    <t>PLACA DE GESSO PARA FORRO, DE  *60 X 60* CM E ESPESSURA DE 12 MM (30 MM NAS BORDAS) SEM COLOCACAO</t>
  </si>
  <si>
    <t>GESSO EM PO PARA REVESTIMENTOS/MOLDURAS/SANCAS</t>
  </si>
  <si>
    <t>ARAME GALVANIZADO 18 BWG, 1,24MM (0,009 KG/M)</t>
  </si>
  <si>
    <t>GROUT (ARGAMASSA FLUIDA DE ELEVADA RESISTENCIA) COM PEDRISCO (30% EM PESO),INCLUSIVE PREPARO,LANCAMENTO E FORNECIMENTO DOS MATERIAIS</t>
  </si>
  <si>
    <t>DEMOLICAO MANUAL DE CONCRETO SIMPLES COM EMPILHAMENTO LATERAL DENTRO DO CANTEIRO DE SERVICO</t>
  </si>
  <si>
    <t>ARRANCAMENTO DE BANCADA DE PIA/LAVATORIO OU BANCA SECA DE ATE 1,00M DE ALTURA E ATE 0,80M DE LARGURA</t>
  </si>
  <si>
    <t>IMPERMEABILIZACAO/REVESTIMENTO DE LAJES,TANQUES,PISCINAS,RESERVATORIOS,ARQUIBANCADAS,ESTACIONAMENTOS,A BASE DE POLIUREIA ,ISENTO DE SOLVENTES,MOLDADO NO LOCAL,CURA RAPIDA,A QUENTE,APLICADO COM EQUIPAMENTO BICOMPONENTE TIPO HOT SPRAY,COM 2,50 MM DE ESPESSURA,SEM PROTECAO MECANICA</t>
  </si>
  <si>
    <t>ALVENARIA DE TIJOLOS CERAMICOS FURADOS 10X20X20CM,ASSENTES COM ARGAMASSA DE CIMENTO E SAIBRO,NO TRACO 1:8,EM PAREDES DE MEIA VEZ(0,10M),DE SUPERFICIE CORRIDA,ATE 3,00M DE ALTURA EMEDIDA PELA AREA REAL</t>
  </si>
  <si>
    <t>MADEIRAMENTO PARA COBERTURA EM TELHAS ONDULADAS,CONSTITUIDO DE PECAS DE 3"X3" E 3"X4.1/2",EM MADEIRA APARELHADA,SEM TESO URA OU PONTALETE,MEDIDO PELA AREA REAL DO MADEIRAMENTO.FORNECIMENTO E COLOCACAO</t>
  </si>
  <si>
    <t>PONTALETE DE MADEIRA SERRADA,EM PECAS DE 3"X3",VERTICAIS E HORIZONTAIS,PARA COBERTURA DE TELHAS ONDULADAS DE QUALQUER TI PO,MEDIDO PELA AREA REAL DA COBERTURA DO TELHADO.FORNECIMENTO E COLOCACAO</t>
  </si>
  <si>
    <t>COBERTURA EM TELHA MODULAR DE CIMENTO,SEM AMIANTO,REFORCADO COM FIOS SINTETICOS (CRFS),COM 50CM DE LARGURA,ESPESSURA DE 8MM,INCLUSIVE ACESSORIOS DE FIXACAO E VEDACAO,EXCLUSIVE MADEIRAMENTO.FORNECIMENTO E COLOCACAO</t>
  </si>
  <si>
    <t>CALHA DE BEIRAL,SEMI-CIRCULAR DE PVC,DN 125,EXCLUSIVE CONDUTORES (VIDE ITEM 16.004.0055).FORNECIMENTO E COLOCACAO</t>
  </si>
  <si>
    <t>CONDUTOR PARA CALHA DE BEIRAL DE PVC,DN 88,INCLUSIVE CONEXOES.FORNECIMENTO E COLOCACAO</t>
  </si>
  <si>
    <t>LUMINARIA DE SOBREPOR,FIXADA EM LAJE OU FORRO,TIPO CALHA,CHANFRADA OU PRISMATICA,ESMALTADA,COMPLETA,EQUIPADA COM REATOR ELETRONICO DE ALTO FATOR DE POTENCIA(AFP&gt;=0,92)E LAMPADA FLUORESCENTE DE 2X20W.FORNECIMENTO E COLOCACAO</t>
  </si>
  <si>
    <t>CABIDE SIMPLES,DE SOBREPOR,EM METAL CROMADO.FORNECIMENTO E COLOCACAO</t>
  </si>
  <si>
    <t>FERRAGENS P/PORTA DE MADEIRA,DE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</si>
  <si>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SI000088315</t>
  </si>
  <si>
    <t>SI000088631</t>
  </si>
  <si>
    <t>REBOCO EXTERNO OU INTERNO COM ARGAMASSA DE CIMENTO,CAL HIDRATADA EM PO E AREIA FINA,NO TRACO 1:3:5,COM ESPESSURA DE 3MM, APLICADO SOBRE EMBOCO EXISTENTE,EXCLUSIVE EMBOCO</t>
  </si>
  <si>
    <t>REVESTIMENTO DE PAREDES COM AZULEJO BRANCO 15X15CM,QUALIDADE EXTRA,ASSENTES COM NATA DE CIMENTO COMUM,TENDO JUNTAS CORRI DAS COM 2MM,REJUNTADAS COM PASTA DE CIMENTO BRANCO,EXCLUSIVECHAPISCO E EMBOCO</t>
  </si>
  <si>
    <t>REVESTIMENTO DE PAREDES COM CERAMICA BRANCA,CINZA OU BEGE,10X10CM, TELADA, PLACA 30X30CM,ASSENTE COM ARGAMASSA COLANTE, REJUNTAMENTO COM ARGAMASSA INDUSTRIALIZADA, EXCLUSIVE CHAPISCO E EMBOCO</t>
  </si>
  <si>
    <t>CORDOES DE CONCRETO SIMPLES,COM SECAO DE 10X25CM,MOLDADOS NO LOCAL,INCLUSIVE ESCAVACAO E REATERRO</t>
  </si>
  <si>
    <t>PLANTIO DE GRAMA EM PLACAS TIPO ESMERALDA,INCLUSIVE FORNECIMENTO DA GRAMA E TRANSPORTE,EXCLUSIVE PREPARO DO TERRENO E O MATERIAL PARA ESTE</t>
  </si>
  <si>
    <t>20133</t>
  </si>
  <si>
    <t>MAO-DE-OBRA DE SERVENTE PARA SERVICOS DECONSERVACAO, INCLUSIVE ENCARGOS SOCIAISDESONERADOS</t>
  </si>
  <si>
    <t>RODAPE DE MARMORITE,FUNDIDO NO LOCAL,COM 10CM DE ALTURA,1CM DE ESPESSURA, TERMINANDO EM CANTO RETO JUNTO AO PISO, FEITO COM CIMENTO E GRANA N§1 DE MARMORE BRANCO NACIONAL, COM POLIMENTO MANUAL,O MARMORITE E EXECUTADO SOBRE EMBOCO PREVIO NAO INCLUIDO NESTA</t>
  </si>
  <si>
    <t>SOLEIRA EM GRANITO CINZA ANDORINHA,ESPESSURA DE 3CM,COM 2 P LIMENTOS,LARGURA DE 15CM,ASSENTADO COM ARGAMASSA DE CIMENTO, SAIBRO E AREIA, NO TRACO 1:2:2, E REJUNTAMENTO COM CIMENTOBRANCO E CORANTE</t>
  </si>
  <si>
    <t>PEITORIL EM GRANITO CINZA ANDORINHA,ESPESSURA DE 2CM,LARGURA 15 A 18CM,ASSENTADO COM NATA DE CIMENTO SOBRE ARGAMASSA DE CIMENTO,SAIBRO E AREIA,NO TRACO 1:3:3 E REJUNTAMENTO COM CIMENTO BRANCO</t>
  </si>
  <si>
    <t>REMOCAO DE PINTURA PLASTICA E SEMELHANTES</t>
  </si>
  <si>
    <t>ARRANCAMENTO DE ALAMBRADOS.</t>
  </si>
  <si>
    <t>Rampa de Concreto Simples  (Preparo, Lançamento e Adensamento) e Tela, exclusive esta: CONCRETO FCK = 25MPA, TRAÇO 1:2,3:2,7 (CIMENTO/ AREIA MÉDIA/ BRITA 1)  - PREPARO MECÂNICO COM BETONEIRA 400 L. AF_07/2016</t>
  </si>
  <si>
    <t>m</t>
  </si>
  <si>
    <t>RODAPÉ DE MARMORITE - (1,50x6=9,00 m)</t>
  </si>
  <si>
    <t>SOLEIRA,PEITORIL OU CHAPIM DE MARMORITE,PRE-MOLDADO EM OFICINA E ASSENTADO NA OBRA, COM OU SEM REBAIXO, FEITO COM GRANA N§1 DE MARMORE BRANCO NACIONAL E CIMENTO,NA ESPESSURA DE 6MM</t>
  </si>
  <si>
    <t>023/18</t>
  </si>
  <si>
    <t>Engº  Alfredo A. N. M. Cunha   -           (CREA-RJ   1997101434)</t>
  </si>
  <si>
    <t>Arqª Valeria V. M. de Camargo               (CAU A11074-4)</t>
  </si>
  <si>
    <t>Arqª Valeria V. M. de Camargo                   (CAU A11074-4)</t>
  </si>
  <si>
    <t>CONTRARUFO :  EM CHAPA DE AÇO GALVANIZADO NÚMERO 24, CORTE DE  53CM, INCLUSO TRANSPORTE VERTICAL. AF_06/2016</t>
  </si>
  <si>
    <t>RUFO LATERAL :  EM CHAPA DE AÇO GALVANIZADO NÚMERO 24, CORTE DE  35CM, INCLUSO TRANSPORTE VERTICAL. AF_06/2016</t>
  </si>
  <si>
    <r>
      <t xml:space="preserve">RASGO EM ALVENARIA PARA RAMAIS/ DISTRIBUIÇÃO COM DIAMETROS ENTRE  </t>
    </r>
    <r>
      <rPr>
        <sz val="12"/>
        <color indexed="8"/>
        <rFont val="Times New Roman"/>
        <family val="1"/>
      </rPr>
      <t>Ø</t>
    </r>
    <r>
      <rPr>
        <sz val="12"/>
        <rFont val="Times New Roman"/>
        <family val="1"/>
      </rPr>
      <t xml:space="preserve">  25mm e 59mm. AF_05/2015</t>
    </r>
  </si>
  <si>
    <t>LAVATORIO DE LOUCA BRANCA,TIPO MEDIO LUXO,COM LADRAO,COM MEDIDAS EM TORNO DE 47X35CM,INCLUSIVE ACESSORIOS DE FIXACAO.FER RAGENS EM METAL CROMADO:SIFAO 1680 DE 1"X1.1/4",E VALVULA DE ESCOAMENTO 1603.RABICHO EM PVC.FORNECIMENTO</t>
  </si>
  <si>
    <t>ASSENTO DE BANCO  EM GRANITO CINZA CORUMBA, COM ESPESSURA DE 3CM, COM POLIMENTO ASSENTE EM SUPERFICIE EM OSSO, COM NATA DE CIMENTO, SOBRE ARGAMASSA DE CIMENTO, AREIA E SAIBRO NO TRACO 1:2:2 E REJUNTAMENTO PRONTO (OBS.:3%-DESGASTE DE FERRAMENTAS E EPI).</t>
  </si>
  <si>
    <t>PLACA DE IDENTIFICACAO DE OBRA PUBLICA, INCLUSIVE PINTURA E SUPORTES DE MADEIRA. FORNECIMENTO E COLOCACAO.</t>
  </si>
  <si>
    <t>1.0</t>
  </si>
  <si>
    <t>1.1</t>
  </si>
  <si>
    <t>2.0</t>
  </si>
  <si>
    <t>2.1</t>
  </si>
  <si>
    <t>2.2</t>
  </si>
  <si>
    <t>2.3</t>
  </si>
  <si>
    <t>2.4</t>
  </si>
  <si>
    <t>3.0</t>
  </si>
  <si>
    <t>3.1</t>
  </si>
  <si>
    <t>3.2</t>
  </si>
  <si>
    <t>3.3</t>
  </si>
  <si>
    <t>3.4</t>
  </si>
  <si>
    <t>3.5</t>
  </si>
  <si>
    <t>3.6</t>
  </si>
  <si>
    <t>3.7</t>
  </si>
  <si>
    <t>3.8</t>
  </si>
  <si>
    <t>3.9</t>
  </si>
  <si>
    <t>3.10</t>
  </si>
  <si>
    <t>4.0</t>
  </si>
  <si>
    <t>4.1</t>
  </si>
  <si>
    <t>4.2</t>
  </si>
  <si>
    <t>4.3</t>
  </si>
  <si>
    <t>4.4</t>
  </si>
  <si>
    <t>4.5</t>
  </si>
  <si>
    <t>4.6</t>
  </si>
  <si>
    <t>4.7</t>
  </si>
  <si>
    <t>5.0</t>
  </si>
  <si>
    <t>5.1</t>
  </si>
  <si>
    <t>5.2</t>
  </si>
  <si>
    <t>5.3</t>
  </si>
  <si>
    <t>5.4</t>
  </si>
  <si>
    <t>5.5</t>
  </si>
  <si>
    <t>5.6</t>
  </si>
  <si>
    <t>5.7</t>
  </si>
  <si>
    <t>5.8</t>
  </si>
  <si>
    <t>5.9</t>
  </si>
  <si>
    <t>5.10</t>
  </si>
  <si>
    <t>5.11</t>
  </si>
  <si>
    <t>6.0</t>
  </si>
  <si>
    <t>6.1</t>
  </si>
  <si>
    <t>6.2</t>
  </si>
  <si>
    <t>7.0</t>
  </si>
  <si>
    <t>7.1</t>
  </si>
  <si>
    <t>7.2</t>
  </si>
  <si>
    <t>7.3</t>
  </si>
  <si>
    <t>7.4</t>
  </si>
  <si>
    <t>7.5</t>
  </si>
  <si>
    <t>7.6</t>
  </si>
  <si>
    <t>7.7</t>
  </si>
  <si>
    <t>7.8</t>
  </si>
  <si>
    <t>8.1</t>
  </si>
  <si>
    <t>8.0</t>
  </si>
  <si>
    <t>9.0</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</si>
  <si>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</si>
  <si>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</si>
  <si>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</si>
  <si>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</si>
  <si>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</si>
  <si>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</si>
  <si>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</si>
  <si>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</si>
  <si>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</si>
  <si>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</si>
  <si>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</si>
  <si>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</si>
  <si>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</si>
  <si>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</si>
  <si>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</si>
  <si>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</si>
  <si>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</si>
  <si>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</si>
  <si>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</si>
  <si>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</si>
  <si>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</si>
  <si>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</si>
  <si>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</si>
  <si>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</si>
  <si>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10.0</t>
  </si>
  <si>
    <t>10.1</t>
  </si>
  <si>
    <t>10.2</t>
  </si>
  <si>
    <t>10.3</t>
  </si>
  <si>
    <t>10.4</t>
  </si>
  <si>
    <t>10.5</t>
  </si>
  <si>
    <t>10.6</t>
  </si>
  <si>
    <t>10.7</t>
  </si>
  <si>
    <t>10.8</t>
  </si>
  <si>
    <t>10.9</t>
  </si>
  <si>
    <t>10.10</t>
  </si>
  <si>
    <t>10.11</t>
  </si>
  <si>
    <t>11.0</t>
  </si>
  <si>
    <t>11.1</t>
  </si>
  <si>
    <t>11.2</t>
  </si>
  <si>
    <t>11.3</t>
  </si>
  <si>
    <t>11.4</t>
  </si>
  <si>
    <t>11.5</t>
  </si>
  <si>
    <t>11.6</t>
  </si>
  <si>
    <t>12.0</t>
  </si>
  <si>
    <t>12.1</t>
  </si>
  <si>
    <t>13.0</t>
  </si>
  <si>
    <t>13.1</t>
  </si>
  <si>
    <t>13.2</t>
  </si>
  <si>
    <t>13.3</t>
  </si>
  <si>
    <t>13.4</t>
  </si>
  <si>
    <t>13.5</t>
  </si>
  <si>
    <t>13.6</t>
  </si>
  <si>
    <t>13.7</t>
  </si>
  <si>
    <t>13.8</t>
  </si>
  <si>
    <t>13.9</t>
  </si>
  <si>
    <t>14.0</t>
  </si>
  <si>
    <t>14.1</t>
  </si>
  <si>
    <t>14.2</t>
  </si>
  <si>
    <t>14.3</t>
  </si>
  <si>
    <t>14.4</t>
  </si>
  <si>
    <t>14.5</t>
  </si>
  <si>
    <t>14.6</t>
  </si>
  <si>
    <t>14.7</t>
  </si>
  <si>
    <t>14.8</t>
  </si>
  <si>
    <t>14.9</t>
  </si>
  <si>
    <t>14.10</t>
  </si>
  <si>
    <t>14.11</t>
  </si>
  <si>
    <t>14.12</t>
  </si>
  <si>
    <t>15.0</t>
  </si>
  <si>
    <t>15.1</t>
  </si>
  <si>
    <t>15.2</t>
  </si>
  <si>
    <t>15.3</t>
  </si>
  <si>
    <t>15.4</t>
  </si>
  <si>
    <t>15.5</t>
  </si>
  <si>
    <t>15.6</t>
  </si>
  <si>
    <t>16.0</t>
  </si>
  <si>
    <t>16.1</t>
  </si>
  <si>
    <t>16.2</t>
  </si>
  <si>
    <t>16.3</t>
  </si>
  <si>
    <t>16.4</t>
  </si>
  <si>
    <t>16.5</t>
  </si>
  <si>
    <t>16.6</t>
  </si>
  <si>
    <t>16.7</t>
  </si>
  <si>
    <t>16.8</t>
  </si>
  <si>
    <t>16.9</t>
  </si>
  <si>
    <t>16.10</t>
  </si>
  <si>
    <t>16.11</t>
  </si>
  <si>
    <t>5º Mês</t>
  </si>
  <si>
    <t>6º Mês</t>
  </si>
  <si>
    <t>7º Mês</t>
  </si>
  <si>
    <t>8º Mês</t>
  </si>
  <si>
    <r>
      <t xml:space="preserve">MASSA ÚNICA, </t>
    </r>
    <r>
      <rPr>
        <strike/>
        <sz val="11"/>
        <rFont val="Times New Roman"/>
        <family val="1"/>
      </rPr>
      <t xml:space="preserve">PARA RECEBIMENTO DE PINTURA, </t>
    </r>
    <r>
      <rPr>
        <sz val="11"/>
        <rFont val="Times New Roman"/>
        <family val="1"/>
      </rPr>
      <t>EM ARGAMASSA TRAÇO 1:2:8, PREPARO MECÂNICO COM BETONEIRA 400L, APLICADA MANUALMENTE EM FACES INTERNAS DE PAREDES E TETOS , ESPESSURA DE 20MM, COM EXECUÇÃO DE TALISCAS. AF_06/2014</t>
    </r>
  </si>
  <si>
    <r>
      <t xml:space="preserve">MASSA ÚNICA, </t>
    </r>
    <r>
      <rPr>
        <strike/>
        <sz val="11"/>
        <color indexed="8"/>
        <rFont val="Times New Roman"/>
        <family val="1"/>
      </rPr>
      <t xml:space="preserve">PARA RECEBIMENTO DE PINTURA, </t>
    </r>
    <r>
      <rPr>
        <sz val="11"/>
        <color indexed="8"/>
        <rFont val="Times New Roman"/>
        <family val="1"/>
      </rPr>
      <t>EM ARGAMASSA TRAÇO 1:2:8, PREPARO MECÂNICO COM BETONEIRA 400L, APLICADA MANUALMENTE EM FACES INTERNAS DE PAREDES E TETOS , ESPESSURA DE 20MM, COM EXECUÇÃO DE TALISCAS. AF_06/2014</t>
    </r>
  </si>
  <si>
    <r>
      <t xml:space="preserve">ASSENTO DE BANCO   </t>
    </r>
    <r>
      <rPr>
        <strike/>
        <sz val="11"/>
        <color indexed="8"/>
        <rFont val="Times New Roman"/>
        <family val="1"/>
      </rPr>
      <t xml:space="preserve">CAPA DE DEGRAU  </t>
    </r>
    <r>
      <rPr>
        <sz val="11"/>
        <color indexed="8"/>
        <rFont val="Times New Roman"/>
        <family val="1"/>
      </rPr>
      <t xml:space="preserve">     EM GRANITO CINZA CORUMBA, COM    </t>
    </r>
    <r>
      <rPr>
        <strike/>
        <sz val="11"/>
        <color indexed="8"/>
        <rFont val="Times New Roman"/>
        <family val="1"/>
      </rPr>
      <t xml:space="preserve"> LARGURA DE 30CM</t>
    </r>
    <r>
      <rPr>
        <sz val="11"/>
        <color indexed="8"/>
        <rFont val="Times New Roman"/>
        <family val="1"/>
      </rPr>
      <t>, ESPESSURA DE 3CM, COM POLIMENTO ASSENTE EM SUPERFICIE EM OSSO, COM NATA DE CIMENTO, SOBRE ARGAMASSA DE CIMENTO, AREIA E SAIBRO NO TRACO 1:2:2 E REJUNTAMENTO PRONTO (OBS.:3%-DESGASTE DE FERRAMENTAS E EPI).</t>
    </r>
  </si>
  <si>
    <r>
      <t xml:space="preserve">ASSENTO DE BANCO    </t>
    </r>
    <r>
      <rPr>
        <strike/>
        <sz val="11"/>
        <color indexed="8"/>
        <rFont val="Times New Roman"/>
        <family val="1"/>
      </rPr>
      <t xml:space="preserve"> CAPA DE DEGRAU </t>
    </r>
    <r>
      <rPr>
        <sz val="11"/>
        <color indexed="8"/>
        <rFont val="Times New Roman"/>
        <family val="1"/>
      </rPr>
      <t xml:space="preserve">    EM GRANITO, CINZA CORUMBA 3CM, POLIDO</t>
    </r>
  </si>
  <si>
    <t>023-18</t>
  </si>
  <si>
    <t xml:space="preserve">Composição de Preços Com Desoneração </t>
  </si>
  <si>
    <t xml:space="preserve"> </t>
  </si>
  <si>
    <t>JUNTA PLASTICA 17X3MM,PARA PISOS CONTINUOS.FORNECIMENTO E COLOCACAO</t>
  </si>
  <si>
    <t>00316</t>
  </si>
  <si>
    <t>JUNTA PLASTICA, P/PISO, ALTURA DE 17MM,E C/ESPES. DE 3MM</t>
  </si>
  <si>
    <t>conforme levantamento temos 12 cômodos com área inferior a 10 m² num total de 92,03m² e 8 cômodos com áreas superior a 10m² num total de 153,54m² - Totalizando 245,57m²</t>
  </si>
  <si>
    <t>Considerando as orientações do catálogo emop teremos a) 92,03m² x 2,70m/m² de junta = 248,48m de junta  b) 153,54m² x 2,50m/m² = 383,85m --------- Totalizando 632,33m de junta</t>
  </si>
  <si>
    <t>PISO DE MARMORITE,COMPREENDENDO: CAMADA DE MARMORITE,COM 1CM DE ESPESSURA,FEITA COM GRANA N§1 DE MARMORE BRANCO NACIONAL E CIMENTO,SUPERFICIE ESTUCADA APOS A FUNDICAO,COM 3 POLIMENTOS MECANICOS, INCLUSIVE FORNECIMENTO E  COLOCAÇÃO DE JUNTA PLASTICA 17X3MM,PARA PISOS CONTINUOS.</t>
  </si>
  <si>
    <t>A</t>
  </si>
  <si>
    <t>B</t>
  </si>
  <si>
    <r>
      <t xml:space="preserve">PISO DE MARMORITE,COMPREENDENDO: CAMADA DE MARMORITE,COM 1CM DE ESPESSURA,FEITA COM GRANA N§1 DE MARMORE BRANCO NACIONAL E </t>
    </r>
    <r>
      <rPr>
        <sz val="11"/>
        <color indexed="8"/>
        <rFont val="Times New Roman"/>
        <family val="1"/>
      </rPr>
      <t xml:space="preserve">CIMENTO  ,SUPERFICIE ESTUCADA APOS A FUNDICAO,COM 3 POLIMENTOS MECANICOS, INCLUSIVE </t>
    </r>
    <r>
      <rPr>
        <sz val="11"/>
        <color indexed="8"/>
        <rFont val="Times New Roman"/>
        <family val="1"/>
      </rPr>
      <t>FORNECIMENTO E  COLOCAÇÃO DE JUNTA PLASTICA 17X3MM,PARA PISOS CONTINUOS.</t>
    </r>
  </si>
  <si>
    <r>
      <t>A) Adotado valor médio de juntas = 623,33m / 245,57m² = 2,57m/m² -----------------</t>
    </r>
    <r>
      <rPr>
        <b/>
        <i/>
        <u val="single"/>
        <sz val="14"/>
        <color indexed="8"/>
        <rFont val="Arial"/>
        <family val="2"/>
      </rPr>
      <t>adotado 2,60m no item junta</t>
    </r>
  </si>
  <si>
    <t>B) Considerado apenas o piso de marmorite com 1cm sem o contrapiso do item original da EMOP.</t>
  </si>
  <si>
    <r>
      <t xml:space="preserve">PISO DE MARMORITE,COMPREENDENDO: CAMADA DE MARMORITE,COM 1CM DE ESPESSURA,FEITA COM GRANA N§1 DE MARMORE BRANCO NACIONAL E </t>
    </r>
    <r>
      <rPr>
        <sz val="11"/>
        <color indexed="8"/>
        <rFont val="Times New Roman"/>
        <family val="1"/>
      </rPr>
      <t>CIMENTO  ,SUPERFICIE ESTUCADA APOS A FUNDICAO,COM 3 POLIMENTOS MECANICOS, INCLUSIVE FORNECIMENTO E  COLOCAÇÃO DE JUNTA PLASTICA 17X3MM,PARA PIS</t>
    </r>
    <r>
      <rPr>
        <sz val="11"/>
        <color indexed="8"/>
        <rFont val="Times New Roman"/>
        <family val="1"/>
      </rPr>
      <t>OS CONTINUOS.</t>
    </r>
  </si>
  <si>
    <t>TABUA DE MADEIRA NAO APARELHADA *2,5 X 30* CM, CEDRINHO OU EQUIVALENTE DA REGIAO</t>
  </si>
  <si>
    <t>PONTALETE DE MADEIRA NAO APARELHADA *7,5 X 7,5* CM (3 X 3 ") PINUS, MISTA OU EQUIVALENTE DA REGIAO</t>
  </si>
  <si>
    <t>ARGAMASSA TRAÇO 1:4 (CIMENTO E AREIA MÉDIA), PREPARO MANUAL. AF_08/2014</t>
  </si>
  <si>
    <t>SUPORTE TIPO PE DE GALINHA PARA FIXACAODE LUMINARIAS</t>
  </si>
  <si>
    <t>REATOR ELETRONICO DE ALTO FATOR DE POTENCIA (AFT&gt;0,92), PARA LAMPADAS FLUORESCENTES - 20W - DUPLO</t>
  </si>
  <si>
    <t>CIMENTO PORTLAND CP II 32, EM SACO DE 50KG</t>
  </si>
  <si>
    <t>DEMOLICAO DE PISO DE LADRILHO COM RESPECTIVA CAMADA DE ARGAMASSA DE ASSENTAMENTO,INCLUSIVE EMPILHAMENTO LATERAL DENTRO D O CANTEIRO DE SERVICO (OBS.:3%-DESGASTE DE FERRAMENTAS E EPI).</t>
  </si>
  <si>
    <t>Fonte Oficial dos Preços : EMOP / SINAPI -  RJ  -  SEM Desoneração  -- BASE JUNHO -2019</t>
  </si>
  <si>
    <t xml:space="preserve">Encargos Sociais SEM Desoneração </t>
  </si>
  <si>
    <t>02.020.0001-0</t>
  </si>
  <si>
    <t>PLACA DE IDENTIFICACAO DE OBRA PUBLICA,INCLUSIVE PINTURA E SUPORTES DE MADEIRA.FORNECIMENTO E COLOCACAO (OBS.:3% - DESGASTE DE FERRAMENTAS E EPI).</t>
  </si>
  <si>
    <t>01967</t>
  </si>
  <si>
    <t>MAO-DE-OBRA DE CARPINTEIRO DE ESQUADRIASDE MADEIRA INCLUSIVE ENCARGOS SOCIAIS</t>
  </si>
  <si>
    <t>01966</t>
  </si>
  <si>
    <t>MAO-DE-OBRA DE PINTOR, INCLUSIVE ENCARGOS SOCIAIS</t>
  </si>
  <si>
    <t>01001</t>
  </si>
  <si>
    <t>19.004.0001-2 CAMINHAO CARROC. FIXA, 3,5T (CP)</t>
  </si>
  <si>
    <t>PLACA DE OBRA EM CHAPA DE ACO GALVANIZADO</t>
  </si>
  <si>
    <t>So73859/002</t>
  </si>
  <si>
    <t>05.001.0001-0</t>
  </si>
  <si>
    <t>DEMOLICAO MANUAL DE CONCRETO SIMPLES COM EMPILHAMENTO LATERAL DENTRO DO CANTEIRO DE SERVICO (OBS.:3%-DESGASTE DE FERRAMENTAS E EPI).</t>
  </si>
  <si>
    <t>01968</t>
  </si>
  <si>
    <t>MAO-DE-OBRA DE PEDREIRO, INCLUSIVE ENCARGOS SOCIAIS</t>
  </si>
  <si>
    <t>So000096995</t>
  </si>
  <si>
    <t>05.001.0015-0</t>
  </si>
  <si>
    <t>Composição 3.1</t>
  </si>
  <si>
    <t>So000097622</t>
  </si>
  <si>
    <t>So000097626</t>
  </si>
  <si>
    <t>So42655</t>
  </si>
  <si>
    <t>SO000097626</t>
  </si>
  <si>
    <t>So000097633</t>
  </si>
  <si>
    <t>DEMOLIÇÃO DE REVESTIMENTO CERÂMICO, DE FORMA MANUAL, SEM REAPROVEITAMENTO. AF_12/2017</t>
  </si>
  <si>
    <t>So000088256</t>
  </si>
  <si>
    <t>Composição 3.5</t>
  </si>
  <si>
    <t>So000097641</t>
  </si>
  <si>
    <t>So000088269</t>
  </si>
  <si>
    <t>So000097647</t>
  </si>
  <si>
    <t>05.001.0147-0</t>
  </si>
  <si>
    <t>So000097663</t>
  </si>
  <si>
    <t>So000097666</t>
  </si>
  <si>
    <t>05.001.0146-0</t>
  </si>
  <si>
    <t>05.001.0041-0</t>
  </si>
  <si>
    <t>01990</t>
  </si>
  <si>
    <t>MAO-DE-OBRA DE CARPINTEIRO DE FORMA DE CONCRETO, INCLUSIVE ENCARGOS SOCIAIS</t>
  </si>
  <si>
    <t>So000097665</t>
  </si>
  <si>
    <t>REMOÇÃO DE LUMINÁRIAS, DE FORMA MANUAL, SEM REAPROVEITAMENTO. AF_12/2017</t>
  </si>
  <si>
    <t>So000088264</t>
  </si>
  <si>
    <t>So000097094</t>
  </si>
  <si>
    <t>So01525</t>
  </si>
  <si>
    <t>So000090587</t>
  </si>
  <si>
    <t>So000090587 VIBRADOR DE IMERSÃO, DIÂMETRO DE PONTEIRA 45MM, MOTOR ELÉTRICO TRIFÁSICO POTÊNCIA DE 2 CV - CHI DIURNO. AF_06/2015</t>
  </si>
  <si>
    <t>So000090586</t>
  </si>
  <si>
    <t>So000090586 VIBRADOR DE IMERSÃO, DIÂMETRO DE PONTEIRA 45MM, MOTOR ELÉTRICO TRIFÁSICO POTÊNCIA DE 2 CV - CHP DIURNO. AF_06/2015</t>
  </si>
  <si>
    <t>So74202/001</t>
  </si>
  <si>
    <t>So06189</t>
  </si>
  <si>
    <t>So05061</t>
  </si>
  <si>
    <t>So04491</t>
  </si>
  <si>
    <t>So03736</t>
  </si>
  <si>
    <t>So00039</t>
  </si>
  <si>
    <t>So000088262</t>
  </si>
  <si>
    <t>So000088239</t>
  </si>
  <si>
    <t>So000094970</t>
  </si>
  <si>
    <t>So000092874</t>
  </si>
  <si>
    <t>So000092874 LANÇAMENTO COM USO DE BOMBA, ADENSAMENTO E ACABAMENTO DE CONCRETO EM ESTRUTURAS. AF_12/2015</t>
  </si>
  <si>
    <t>16.036.0062-0</t>
  </si>
  <si>
    <t>IMPERMEABILIZACAO/REVESTIMENTO DE LAJES,TANQUES,PISCINAS,RESERVATORIOS,ARQUIBANCADAS,ESTACIONAMENTOS,A BASE DE POLIUREIA ,ISENTO DE SOLVENTES,MOLDADO NO LOCAL,CURA RAPIDA,A QUENTE,APLICADO COM EQUIPAMENTO BICOMPONENTE TIPO HOT SPRAY,COM 2,50 MM DE ESPESSURA,SEM PROTECAO MECANICA (OBS.:3%-DESGASTE DE FERRAMENTAS E EPI 30%-EQUIPAMENTO HOT SPRAY).</t>
  </si>
  <si>
    <t>06914</t>
  </si>
  <si>
    <t>MAO-DE-OBRA DE IMPERMEABILIZADOR, INCLUSIVE ENCARGOS SOCIAIS</t>
  </si>
  <si>
    <t>11.013.0070-1</t>
  </si>
  <si>
    <t>01998</t>
  </si>
  <si>
    <t>MAO-DE-OBRA DE ARMADOR DE CONCRETO ARMADO, INCLUSIVE ENCARGOS SOCIAIS</t>
  </si>
  <si>
    <t>03000</t>
  </si>
  <si>
    <t>54.001.0100-1 FORMAS MADEIRA P/MOLDAGEM, INCL. ESCOR.</t>
  </si>
  <si>
    <t>01158</t>
  </si>
  <si>
    <t>19.007.0013-4 VIBRADOR IMERSAO ELETR. 2CV (CI)</t>
  </si>
  <si>
    <t>01157</t>
  </si>
  <si>
    <t>19.007.0013-2 VIBRADOR IMERSAO ELETR. 2CV (CP)</t>
  </si>
  <si>
    <t>12.003.0075-1</t>
  </si>
  <si>
    <t>01613</t>
  </si>
  <si>
    <t>07.006.0025-1 ARGAMASSA CIM.,SAIBRO TRACO 1:8,PREPAROMECANICO</t>
  </si>
  <si>
    <t>So000087879</t>
  </si>
  <si>
    <t>So000087313</t>
  </si>
  <si>
    <t>So000087313 ARGAMASSA TRAÇO 1:3 (CIMENTO E AREIA GROSSA) PARA CHAPISCO CONVENCIONAL, PREPARO MECÂNICO COM BETONEIRA 400 L. AF_06/2014</t>
  </si>
  <si>
    <t>So000087529</t>
  </si>
  <si>
    <t>MASSA ÚNICA, PARA RECEBIMENTO DE PINTURA, EM ARGAMASSA TRAÇO 1:2:8, PREPARO MECÂNICO COM BETONEIRA 400L, APLICADA MANUALMENTE EM FACES INTERNAS DE PAREDES, ESPESSURA DE 20MM, COM EXECUÇÃO DE TALISCAS. AF_06/2014</t>
  </si>
  <si>
    <t>So000087292</t>
  </si>
  <si>
    <t>So000087292 ARGAMASSA TRAÇO 1:2:8 (CIMENTO, CAL E AREIA MÉDIA) PARA EMBOÇO/MASSA ÚNICA/ASSENTAMENTO DE ALVENARIA DE VEDAÇÃO, PREPARO MECÂNICO COM BETONEIRA 400 L. AF_06/2014</t>
  </si>
  <si>
    <t>Composição 5.7</t>
  </si>
  <si>
    <t>So000091341</t>
  </si>
  <si>
    <t>So39025</t>
  </si>
  <si>
    <t>So36888</t>
  </si>
  <si>
    <t>So07568</t>
  </si>
  <si>
    <t>So00142</t>
  </si>
  <si>
    <t>So74084/001</t>
  </si>
  <si>
    <t>So41758</t>
  </si>
  <si>
    <t>So05088</t>
  </si>
  <si>
    <t>So000088261</t>
  </si>
  <si>
    <t>So000088485</t>
  </si>
  <si>
    <t>So06085</t>
  </si>
  <si>
    <t>So000095626</t>
  </si>
  <si>
    <t>So07356</t>
  </si>
  <si>
    <t>So000093188</t>
  </si>
  <si>
    <t>So39017</t>
  </si>
  <si>
    <t>So02692</t>
  </si>
  <si>
    <t>So000092791</t>
  </si>
  <si>
    <t>So000092270</t>
  </si>
  <si>
    <t>16.001.0061-0</t>
  </si>
  <si>
    <t>MADEIRAMENTO PARA COBERTURA EM TELHAS ONDULADAS,CONSTITUIDO DE PECAS DE 3"X3" E 3"X4.1/2",EM MADEIRA APARELHADA,SEM TESO URA OU PONTALETE,MEDIDO PELA AREA REAL DO MADEIRAMENTO.FORNECIMENTO E COLOCACAO (OBS.:3%-DESGASTE DE FERRAMENTAS E EPI).</t>
  </si>
  <si>
    <t>03480</t>
  </si>
  <si>
    <t>58.002.0434-1 MACARANDUBA APARELHADA 3" X 4.1/2"</t>
  </si>
  <si>
    <t>03479</t>
  </si>
  <si>
    <t>58.002.0433-1 MACARANDUBA APARELHADA 3" X 3"</t>
  </si>
  <si>
    <t>16.001.0086-0</t>
  </si>
  <si>
    <t>PONTALETE DE MADEIRA SERRADA,EM PECAS DE 3"X3",VERTICAIS E HORIZONTAIS,PARA COBERTURA DE TELHAS ONDULADAS DE QUALQUER TI PO,MEDIDO PELA AREA REAL DA COBERTURA DO TELHADO.FORNECIMENTO E COLOCACAO (OBS.:3%-DESGASTE DE FERRAMENTAS E EPI).</t>
  </si>
  <si>
    <t>16.004.0030-0</t>
  </si>
  <si>
    <t>16.004.0050-0</t>
  </si>
  <si>
    <t>16.004.0055-0</t>
  </si>
  <si>
    <t>18.027.0312-0</t>
  </si>
  <si>
    <t>LUMINARIA DE SOBREPOR,FIXADA EM LAJE OU FORRO,TIPO CALHA,CHANFRADA OU PRISMATICA,COMPLETA,EQUIPADA COM REATOR ELETRONICO DE ALTO FATOR DE POTENCIA E LAMPADA FLUORESCENTE DE 2X20W.FORNECIMENTO E COLOCACAO (OBS.:3%-DESGASTE DE FERRAMENTAS E EPI).</t>
  </si>
  <si>
    <t>14675</t>
  </si>
  <si>
    <t>CALHA CHANFRADA EM CHAPA DE ACO PARA LUMINARIA DE SOBREPOR, PARA 2 LAMPADAS TUBULARES DE 600MM</t>
  </si>
  <si>
    <t>SUPORTE P/LAMPADA TUBULAR</t>
  </si>
  <si>
    <t>01983</t>
  </si>
  <si>
    <t>MAO-DE-OBRA DE ELETRICISTA DE CONSTRUCAOCIVIL, INCLUSIVE ENCARGOS SOCIAIS</t>
  </si>
  <si>
    <t>15.036.0031-0</t>
  </si>
  <si>
    <t>So000094794</t>
  </si>
  <si>
    <t>So06015</t>
  </si>
  <si>
    <t>So03148</t>
  </si>
  <si>
    <t>06.001.0260-0</t>
  </si>
  <si>
    <t>So000090443</t>
  </si>
  <si>
    <t>15.036.0048-0</t>
  </si>
  <si>
    <t>15.036.0046-0</t>
  </si>
  <si>
    <t>15.036.0045-0</t>
  </si>
  <si>
    <t>15.038.0324-0</t>
  </si>
  <si>
    <t>15.004.0181-0</t>
  </si>
  <si>
    <t>15.045.0084-0</t>
  </si>
  <si>
    <t>15.045.0085-0</t>
  </si>
  <si>
    <t>So000094964</t>
  </si>
  <si>
    <t>So04721</t>
  </si>
  <si>
    <t>So01379</t>
  </si>
  <si>
    <t>So00370</t>
  </si>
  <si>
    <t>So000088377</t>
  </si>
  <si>
    <t>So000088831</t>
  </si>
  <si>
    <t>So000088830</t>
  </si>
  <si>
    <t>So74157/004</t>
  </si>
  <si>
    <t>18.016.0105-0</t>
  </si>
  <si>
    <t>18.016.0106-0</t>
  </si>
  <si>
    <t>18.002.0012-0</t>
  </si>
  <si>
    <t>So03146</t>
  </si>
  <si>
    <t>18.016.0030-0</t>
  </si>
  <si>
    <t>BANCA DE ACO INOXIDAVEL DE 2,00X0,55M,EM CHAPA 18.304,COM UMA CUBA DE 500X400X200MM EM CHAPA 20.304,VALVULA DE ESCOAMENT O TIPO AMERICANA 1623,SIFAO 1680 1.1/2"X1.1/2",SOBRE APOIOSDE ALVENARIA DE MEIA VEZ E VERGA DE CONCRETO,SEM REVESTIMENT O,EXCLUSIVE TORNEIRA.FORNECIMENTO E COLOCACAO (OBS.:3%-DESGASTE DE FERRAMENTAS E EPI).</t>
  </si>
  <si>
    <t>18.006.0054-0</t>
  </si>
  <si>
    <t>01978</t>
  </si>
  <si>
    <t>MAO-DE-OBRA DE LADRILHEIRO, INCLUSIVE ENCARGOS SOCIAIS</t>
  </si>
  <si>
    <t>14.007.0010-0</t>
  </si>
  <si>
    <t>14.003.0070-0</t>
  </si>
  <si>
    <t>06913</t>
  </si>
  <si>
    <t>MAO-DE-OBRA DE SERRALHEIRO DA CONSTRUCAOCIVIL, INCLUSIVE ENCARGOS SOCIAIS</t>
  </si>
  <si>
    <t>So39961</t>
  </si>
  <si>
    <t>So04377</t>
  </si>
  <si>
    <t>So34362</t>
  </si>
  <si>
    <t>So74244/001</t>
  </si>
  <si>
    <t>So07696</t>
  </si>
  <si>
    <t>So07167</t>
  </si>
  <si>
    <t>So00335</t>
  </si>
  <si>
    <t>So00333</t>
  </si>
  <si>
    <t>So000088315</t>
  </si>
  <si>
    <t>So000072122</t>
  </si>
  <si>
    <t>So10499</t>
  </si>
  <si>
    <t>So10498</t>
  </si>
  <si>
    <t>So000088325</t>
  </si>
  <si>
    <t>13.008.0010-0</t>
  </si>
  <si>
    <t>REBOCO EXTERNO OU INTERNO COM ARGAMASSA DE CIMENTO,CAL HIDRATADA EM PO E AREIA FINA,NO TRACO 1:3:5,COM ESPESSURA DE 3MM, APLICADO SOBRE EMBOCO EXISTENTE,EXCLUSIVE EMBOCO (OBS.:3%-DESGASTE DE FERRAMENTAS E EPI).</t>
  </si>
  <si>
    <t>01984</t>
  </si>
  <si>
    <t>MAO-DE-OBRA DE ESTUCADOR, INCLUSIVE ENCARGOS SOCIAIS</t>
  </si>
  <si>
    <t>03079</t>
  </si>
  <si>
    <t>07.005.0010-1 ARGAMASSA CIM.,CAL E AREIA FINA,TRACO1:3:5,PREPARO MECANICO</t>
  </si>
  <si>
    <t>13.026.0011-0</t>
  </si>
  <si>
    <t>03077</t>
  </si>
  <si>
    <t>07.001.0010-1 PASTA DE CIMENTO COMUM</t>
  </si>
  <si>
    <t>So73908/001</t>
  </si>
  <si>
    <t>So00584</t>
  </si>
  <si>
    <t>13.030.0255-0</t>
  </si>
  <si>
    <t>REVESTIMENTO DE PAREDES COM CERAMICA BRANCA,CINZA OU BEGE,10X10CM, TELADA, PLACA 30X30CM,ASSENTE COM ARGAMASSA COLANTE, REJUNTAMENTO COM ARGAMASSA INDUSTRIALIZADA, EXCLUSIVE CHAPISCO E EMBOCO (OBS.:3%-DESGASTE DE FERRAMENTAS E EPI).</t>
  </si>
  <si>
    <t>01624</t>
  </si>
  <si>
    <t>07.007.0010-1 ARGAMASSA CIM.,SAIBRO,AREIA 1:2:2,PREPARO MECANICO</t>
  </si>
  <si>
    <t>PREÇO POR M2  (R$ 44,13 / 0,30 m2 = R$ 147,10 por m2)</t>
  </si>
  <si>
    <t>So000096113</t>
  </si>
  <si>
    <t>So40547</t>
  </si>
  <si>
    <t>So20250</t>
  </si>
  <si>
    <t>So04812</t>
  </si>
  <si>
    <t>So00345</t>
  </si>
  <si>
    <t>So03315</t>
  </si>
  <si>
    <t>13.380.0010-0</t>
  </si>
  <si>
    <t>PISO DE MARMORITE,COMPREENDENDO:A)LASTRO,COM 4CM DE ESPESSURA MEDIA,DE ARGAMASSA DE CIMENTO E AREIA GROSSA,NO TRACO 1:4; B)CAMADA DE MARMORITE,COM 1CM DE ESPESSURA,FEITA COM GRANA N§1 DE MARMORE BRANCO NACIONAL E CIMENTO,SUPERFICIE ESTUCADA APOS A FUNDICAO,COM 3 POLIMENTOS MECANICOS,EXCLUSIVE JUNTA (OBS.:3%-DESGASTE DE FERRAMENTAS E EPI).</t>
  </si>
  <si>
    <t>01980</t>
  </si>
  <si>
    <t>MAO-DE-OBRA DE MARMORISTA DE MARMORITE,INCLUSIVE ENCARGOS SOCIAIS</t>
  </si>
  <si>
    <t>02030</t>
  </si>
  <si>
    <t>19.006.0050-4 MAQUINA POLIDORA 4HP (CI)</t>
  </si>
  <si>
    <t>02029</t>
  </si>
  <si>
    <t>19.006.0050-2 MAQUINA POLIDORA 4HP (CP)</t>
  </si>
  <si>
    <t>13.381.0050-0</t>
  </si>
  <si>
    <t>JUNTA PLASTICA 17X3MM,PARA PISOS CONTINUOS.FORNECIMENTO E COLOCACAO (OBS.:3%-DESGASTE DE FERRAMENTAS E EPI).</t>
  </si>
  <si>
    <t>So000087258</t>
  </si>
  <si>
    <t>So37595</t>
  </si>
  <si>
    <t>So34357</t>
  </si>
  <si>
    <t>So21108</t>
  </si>
  <si>
    <t>13.380.0010-6 + 13.381.0050-0</t>
  </si>
  <si>
    <t>So000094994</t>
  </si>
  <si>
    <t>So04517</t>
  </si>
  <si>
    <t>SARRAFO DE MADEIRA NAO APARELHADA *2,5 X 7,5* CM (1 X 3 ") PINUS, MISTA OU EQUIVALENTE DA REGIAO</t>
  </si>
  <si>
    <t>So04460</t>
  </si>
  <si>
    <t>So03777</t>
  </si>
  <si>
    <t>09.010.0001-0</t>
  </si>
  <si>
    <t>01764</t>
  </si>
  <si>
    <t>11.002.0035-1 LANCAMENTO CONC.S/ARM.2,0M3/H, HORIZ.</t>
  </si>
  <si>
    <t>01756</t>
  </si>
  <si>
    <t>11.002.0027-1 LANCAMENTO CONC.S/ARM.7,0M3/H,HORIZ/VERT</t>
  </si>
  <si>
    <t>01640</t>
  </si>
  <si>
    <t>11.004.0021-1 FORMAS MADEIRA PARAM. PLANOS, 2 VEZES</t>
  </si>
  <si>
    <t>01635</t>
  </si>
  <si>
    <t>11.001.0005-1 CONCRETO FCK 15MPA</t>
  </si>
  <si>
    <t>01607</t>
  </si>
  <si>
    <t>07.002.0030-1 ARGAMASSA CIM.,AREIA TRACO 1:4,PREPAROMECANICO</t>
  </si>
  <si>
    <t>13.333.0015-0</t>
  </si>
  <si>
    <t>13.333.0010-0</t>
  </si>
  <si>
    <t>So000094965</t>
  </si>
  <si>
    <t>SO07156</t>
  </si>
  <si>
    <t>11.015.0020-0</t>
  </si>
  <si>
    <t>01760</t>
  </si>
  <si>
    <t>11.002.0031-1 LANCAMENTO CONC.S/ARM.1,0M3/H/HORIZ/VERT</t>
  </si>
  <si>
    <t>01747</t>
  </si>
  <si>
    <t>11.002.0015-1 PREPARO CONCR. BETON. 320L; 1,00M3/H</t>
  </si>
  <si>
    <t>09.006.0032-0</t>
  </si>
  <si>
    <t>09.001.0020-0</t>
  </si>
  <si>
    <t>13.380.0015-0</t>
  </si>
  <si>
    <t>SOLEIRA,PEITORIL OU CHAPIM DE MARMORITE,PRE-MOLDADO EM OFICINA E ASSENTADO NA OBRA, COM OU SEM REBAIXO, FEITO COM GRANA N§1 DE MARMORE BRANCO NACIONAL E CIMENTO,NA ESPESSURA DE 6MM (OBS.:3%-DESGASTE DE FERRAMENTAS E EPI).</t>
  </si>
  <si>
    <t>13.380.0025-0</t>
  </si>
  <si>
    <t>13.348.0075-0</t>
  </si>
  <si>
    <t>13.348.0050-0</t>
  </si>
  <si>
    <t>13.348.0055-0</t>
  </si>
  <si>
    <t>PEITORIL EM GRANITO CINZA ANDORINHA,ESPESSURA DE 2CM,LARGURA DE 28CM,ASSENTADO COM NATA DE CIMENTO SOBRE ARGAMASSA DE CI MENTO,SAIBRO E AREIA,NO TRACO 1:3:3 E REJUNTAMENTO COM CIMENTO BRANCO (OBS.:3%-DESGASTE DE FERRAMENTAS E EPI).</t>
  </si>
  <si>
    <t>17.035.0020-0</t>
  </si>
  <si>
    <t>17.018.0265-0</t>
  </si>
  <si>
    <t>PINTURA COM TINTA ACRILICA ACETINADA,PARA USO HOSPITALAR,SOBRE PAREDES E TETOS,INCLUSIVE LIXAMENTO,UMA DEMAO DE SELADOR ACRILICO,DUAS DEMAOS DE MASSA ACRILICA E DUAS DEMAOS DE ACABAMENTO (OBS.:3%- DESGASTE DE FERRAMENTAS E EPI).</t>
  </si>
  <si>
    <t>So000096135</t>
  </si>
  <si>
    <t>So04056</t>
  </si>
  <si>
    <t>So03767</t>
  </si>
  <si>
    <t>So000088489</t>
  </si>
  <si>
    <t>So000088482</t>
  </si>
  <si>
    <t>So06090</t>
  </si>
  <si>
    <t>So000088494</t>
  </si>
  <si>
    <t>So04051</t>
  </si>
  <si>
    <t>So000088486</t>
  </si>
  <si>
    <t>So07345</t>
  </si>
  <si>
    <t>So74145/001</t>
  </si>
  <si>
    <t>So07307</t>
  </si>
  <si>
    <t>So07288</t>
  </si>
  <si>
    <t>So05320</t>
  </si>
  <si>
    <t>So03768</t>
  </si>
  <si>
    <t>Fonte Oficial dos Preços : EMOP / SINAPI -  RJ  -  Não Desonerado  - JUNHO/2019</t>
  </si>
  <si>
    <t>So74209/001</t>
  </si>
  <si>
    <t>15.038.0323-0</t>
  </si>
  <si>
    <t>7.9</t>
  </si>
  <si>
    <t>So000094231</t>
  </si>
  <si>
    <t>RUFO EM CHAPA DE AÇO GALVANIZADO NÚMERO 24, CORTE DE 25 CM, INCLUSO TRANSPORTE VERTICAL. AF_06/2016</t>
  </si>
  <si>
    <t>So40872</t>
  </si>
  <si>
    <t>So13388</t>
  </si>
  <si>
    <t>So05104</t>
  </si>
  <si>
    <t>&gt; Preço por m2 = R$ 33,98 / 0,25 m2 = R$ 134,04 / m2</t>
  </si>
  <si>
    <t>&gt; Preço para Orçamento : R$135,92x 0,53 m2 = R$ 72,04 por m</t>
  </si>
  <si>
    <t>&gt; Preço por m2 = R$ 33,98 / 0,25 m2 = R$ 135,92 / m2</t>
  </si>
  <si>
    <t>&gt; Preço para Orçamento : R$135,92x 0,35 m2 = R$ 47,57 por m</t>
  </si>
  <si>
    <t>Composição 8.1</t>
  </si>
  <si>
    <t>mercado</t>
  </si>
  <si>
    <t>LAMPADA LED  9 W</t>
  </si>
  <si>
    <t>composiçao 9.24</t>
  </si>
  <si>
    <t>So000095471</t>
  </si>
  <si>
    <t>VASO SANITARIO SIFONADO CONVENCIONAL PARA PCD SEM FURO FRONTAL COM  LOUÇA BRANCA SEM ASSENTO -  FORNECIMENTO E INSTALAÇÃO. AF_10/2016</t>
  </si>
  <si>
    <t>Composição 10.1</t>
  </si>
  <si>
    <t>So000086912</t>
  </si>
  <si>
    <t>TORNEIRA CROMADA LONGA, DE PAREDE, 1/2" OU 3/4", PARA PIA DE COZINHA, PADRÃO MÉDIO - FORNECIMENTO E INSTALAÇÃO. AF_12/2013</t>
  </si>
  <si>
    <t>composição 10.5</t>
  </si>
  <si>
    <t>composiçao 10.6</t>
  </si>
  <si>
    <t>composiçao 10.7</t>
  </si>
  <si>
    <t>composição 10.8</t>
  </si>
  <si>
    <t>Composição 10.5</t>
  </si>
  <si>
    <t>Composição 10.6</t>
  </si>
  <si>
    <t>Composição 10.7</t>
  </si>
  <si>
    <t>Composição 10.8</t>
  </si>
  <si>
    <t>composição 10.9</t>
  </si>
  <si>
    <t>Composição 10.9</t>
  </si>
  <si>
    <t>Composição 10.10</t>
  </si>
  <si>
    <t xml:space="preserve"> So000091341</t>
  </si>
  <si>
    <t>So000089709</t>
  </si>
  <si>
    <t>RALO SIFONADO, PVC, DN 100 X 40 MM, JUNTA SOLDÁVEL, FORNECIDO E INSTALADO EM RAMAL DE DESCARGA OU EM RAMAL DE ESGOTO SANITÁRIO. AF_12/2014</t>
  </si>
  <si>
    <t>So000094570</t>
  </si>
  <si>
    <t>Composição 11.4</t>
  </si>
  <si>
    <t>JANELA DE ALUMÍNIO DE CORRER, 2 FOLHAS, FIXAÇÃO COM PARAFUSO SOBRE CONTRAMARCO (EXCLUSIVE CONTRAMARCO), COM VIDROS PADRONIZADA. AF_07/2016</t>
  </si>
  <si>
    <t>07697</t>
  </si>
  <si>
    <t>composição 11.6</t>
  </si>
  <si>
    <t>Composição13.2</t>
  </si>
  <si>
    <t>Composição 13.2</t>
  </si>
  <si>
    <t>13.365.0085-0</t>
  </si>
  <si>
    <t>CAPA DE DEGRAU EM GRANITO CINZA CORUMBA,COM LARGURA DE 30CM,ESPESSURA DE 3CM,COM POLIMENTO ASSENTE EM SUPERFICIE EM OSSO ,COM NATA DE CIMENTO,SOBRE ARGAMASSA DE CIMENTO,AREIA E SAIBRO NO TRACO 1:2:2 E REJUNTAMENTO PRONTO (OBS.:3%-DESGASTE DE FERRAMENTAS E EPI).</t>
  </si>
  <si>
    <t>Composição13.7</t>
  </si>
  <si>
    <t>m2</t>
  </si>
  <si>
    <t>Composição 13.9</t>
  </si>
  <si>
    <t>13.370.0030-0</t>
  </si>
  <si>
    <t>Composição 14.1</t>
  </si>
  <si>
    <t>Composição 14.7</t>
  </si>
  <si>
    <t>a</t>
  </si>
  <si>
    <t>b</t>
  </si>
  <si>
    <t>Composição 15.3</t>
  </si>
  <si>
    <t>Composição 15.6</t>
  </si>
  <si>
    <t>Composição 7.4</t>
  </si>
  <si>
    <t xml:space="preserve"> So000094450 </t>
  </si>
  <si>
    <t>Composição 7.5</t>
  </si>
  <si>
    <t>Composição 7.6</t>
  </si>
  <si>
    <r>
      <t xml:space="preserve">CONTRARUFO :  EM CHAPA DE AÇO GALVANIZADO NÚMERO 24, CORTE DE  53CM                </t>
    </r>
    <r>
      <rPr>
        <strike/>
        <sz val="11"/>
        <rFont val="Times New Roman"/>
        <family val="1"/>
      </rPr>
      <t xml:space="preserve"> 25 CM</t>
    </r>
    <r>
      <rPr>
        <sz val="11"/>
        <rFont val="Times New Roman"/>
        <family val="1"/>
      </rPr>
      <t>, INCLUSO TRANSPORTE VERTICAL. AF_06/2016</t>
    </r>
  </si>
  <si>
    <t>Composição 7.7</t>
  </si>
  <si>
    <r>
      <t xml:space="preserve">RUFO LATERAL :  EM CHAPA DE AÇO GALVANIZADO NÚMERO 24, CORTE DE  35CM                </t>
    </r>
    <r>
      <rPr>
        <strike/>
        <sz val="11"/>
        <rFont val="Times New Roman"/>
        <family val="1"/>
      </rPr>
      <t xml:space="preserve"> 25 CM</t>
    </r>
    <r>
      <rPr>
        <sz val="11"/>
        <rFont val="Times New Roman"/>
        <family val="1"/>
      </rPr>
      <t>, INCLUSO TRANSPORTE VERTICAL. AF_06/2016</t>
    </r>
  </si>
  <si>
    <t>composição 8.1</t>
  </si>
  <si>
    <t>Composição 9.24</t>
  </si>
  <si>
    <t>17.0</t>
  </si>
  <si>
    <t>17.1</t>
  </si>
  <si>
    <t>So000097599</t>
  </si>
  <si>
    <t>LUMINÁRIA DE EMERGÊNCIA - FORNECIMENTO E INSTALAÇÃO. AF_11/2017</t>
  </si>
  <si>
    <t>So38774</t>
  </si>
  <si>
    <t>LUMINARIA DE EMERGENCIA 30 LEDS, POTENCIA 2 W, BATERIA DE LITIO, AUTONOMIA DE 6 HORAS</t>
  </si>
  <si>
    <t>So000088247</t>
  </si>
  <si>
    <t>AUXILIAR DE ELETRICISTA COM ENCARGOS COMPLEMENTARES</t>
  </si>
  <si>
    <t>8.2</t>
  </si>
  <si>
    <t>So000091926</t>
  </si>
  <si>
    <t>CABO DE COBRE FLEXÍVEL ISOLADO, 2,5 MM², ANTI-CHAMA 450/750 V, PARA CIRCUITOS TERMINAIS - FORNECIMENTO E INSTALAÇÃO. AF_12/2015</t>
  </si>
  <si>
    <t>So21127</t>
  </si>
  <si>
    <t>FITA ISOLANTE ADESIVA ANTICHAMA, USO ATE 750 V, EM ROLO DE 19 MM X 5 M</t>
  </si>
  <si>
    <t>So01014</t>
  </si>
  <si>
    <t>CABO DE COBRE, FLEXIVEL, CLASSE 4 OU 5, ISOLACAO EM PVC/A, ANTICHAMA BWF-B, 1 CONDUTOR, 450/750 V, SECAO NOMINAL 2,5 MM2</t>
  </si>
  <si>
    <t>8.3</t>
  </si>
  <si>
    <t>8.4</t>
  </si>
  <si>
    <t>So000091854</t>
  </si>
  <si>
    <t>ELETRODUTO FLEXÍVEL CORRUGADO, PVC, DN 25 MM (3/4"), PARA CIRCUITOS TERMINAIS, INSTALADO EM PAREDE - FORNECIMENTO E INSTALAÇÃO. AF_12/2015</t>
  </si>
  <si>
    <t>So02688</t>
  </si>
  <si>
    <t>ELETRODUTO PVC FLEXIVEL CORRUGADO, COR AMARELA, DE 25 MM</t>
  </si>
  <si>
    <t>SIRENE 
LUMINÁRIAS DE EMERGÊNCIA:
42 unidades;
177m de calha 3x2,5mm²
584m cabo 2,5mm²</t>
  </si>
  <si>
    <t>8.5</t>
  </si>
  <si>
    <t>8.6</t>
  </si>
  <si>
    <t>So000091992</t>
  </si>
  <si>
    <t>TOMADA ALTA DE EMBUTIR (1 MÓDULO), 2P+T 10 A, INCLUINDO SUPORTE E PLACA - FORNECIMENTO E INSTALAÇÃO. AF_12/2015</t>
  </si>
  <si>
    <t>So000091990</t>
  </si>
  <si>
    <t>So000091990 TOMADA ALTA DE EMBUTIR (1 MÓDULO), 2P+T 10 A, SEM SUPORTE E SEM PLACA - FORNECIMENTO E INSTALAÇÃO. AF_12/2015</t>
  </si>
  <si>
    <t>So000091946</t>
  </si>
  <si>
    <t>So000091946 SUPORTE PARAFUSADO COM PLACA DE ENCAIXE 4" X 2" MÉDIO (1,30 M DO PISO) PARA PONTO ELÉTRICO - FORNECIMENTO E INSTALAÇÃO. AF_12/2015</t>
  </si>
  <si>
    <t>15.045.0110-0</t>
  </si>
  <si>
    <t>ABERTURA E FECHAMENTO MANUAL DE RASGO EM ALVENARIA,PARA PASSAGEM DE TUBOS E DUTOS,COM DIAMETRO DE 1/2" A 1" (OBS.:3%-DESGASTE DE FERRAMENTAS E EPI).</t>
  </si>
  <si>
    <t>01605</t>
  </si>
  <si>
    <t>07.002.0025-1 ARGAMASSA CIM.,AREIA TRACO 1:3,PREPAROMECANICO</t>
  </si>
  <si>
    <t xml:space="preserve">PLANILHA  ORCAMENTÁRIA </t>
  </si>
  <si>
    <t>TOTAL GERAL C/BDI DE 22,47%</t>
  </si>
  <si>
    <t>preço unit. Multipla</t>
  </si>
  <si>
    <t xml:space="preserve">Encargos Sociais  Onerados </t>
  </si>
  <si>
    <t>Fonte Oficial dos Preços : EMOP / SINAPI -  RJ  -  Onerado  - JUNHO-2019</t>
  </si>
  <si>
    <t>INSTALAÇÕES DE COMBATE A INCENDIO</t>
  </si>
  <si>
    <t>PLACAS DE SINALIZAÇÃO E EQUIPAMENTOS DE COMBATE</t>
  </si>
  <si>
    <t>So000083635</t>
  </si>
  <si>
    <t>EXTINTOR INCENDIO TP PO QUIMICO 6KG - FORNECIMENTO E INSTALACAO</t>
  </si>
  <si>
    <t>So10892</t>
  </si>
  <si>
    <t>EXTINTOR DE INCENDIO PORTATIL COM CARGA DE PO QUIMICO SECO (PQS) DE 6 KG, CLASSE BC</t>
  </si>
  <si>
    <t>17.2</t>
  </si>
  <si>
    <t>So73775/002</t>
  </si>
  <si>
    <t>EXTINTOR INCENDIO AGUA-PRESSURIZADA 10L INCL SUPORTE PAREDE CARGA     COMPLETA FORNECIMENTO E COLOCACAO</t>
  </si>
  <si>
    <t>So10886</t>
  </si>
  <si>
    <t>EXTINTOR DE INCENDIO PORTATIL COM CARGA DE AGUA PRESSURIZADA DE 10 L, CLASSE A</t>
  </si>
  <si>
    <t>17.3</t>
  </si>
  <si>
    <t>So000072554</t>
  </si>
  <si>
    <t>EXTINTOR DE CO2 6KG - FORNECIMENTO E INSTALACAO</t>
  </si>
  <si>
    <t>So10889</t>
  </si>
  <si>
    <t>EXTINTOR DE INCENDIO PORTATIL COM CARGA DE GAS CARBONICO CO2 DE 6 KG, CLASSE BC</t>
  </si>
  <si>
    <t>So04350</t>
  </si>
  <si>
    <t>BUCHA DE NYLON, DIAMETRO DO FURO 8 MM, COMPRIMENTO 40 MM, COM PARAFUSO DE ROSCA SOBERBA, CABECA CHATA, FENDA SIMPLES, 4,8 X 50 MM</t>
  </si>
  <si>
    <t>17.4</t>
  </si>
  <si>
    <t>Composição 17.4</t>
  </si>
  <si>
    <t>placas de sinalização de rota de fuga pela esquerda</t>
  </si>
  <si>
    <t>cotação</t>
  </si>
  <si>
    <t>unid</t>
  </si>
  <si>
    <t>17.5</t>
  </si>
  <si>
    <t>Composição 17.5</t>
  </si>
  <si>
    <t>placas de sinalização de rota de fuga pela direita</t>
  </si>
  <si>
    <t>17.6</t>
  </si>
  <si>
    <t>Composição 17.6</t>
  </si>
  <si>
    <t xml:space="preserve">placas de sinalização de rota de fuga descendo pela escada,
</t>
  </si>
  <si>
    <t>17.7</t>
  </si>
  <si>
    <t>Composição 17.7</t>
  </si>
  <si>
    <t>placas indicando saídas de emergência,</t>
  </si>
  <si>
    <t>17.8</t>
  </si>
  <si>
    <t>Composição 17.8</t>
  </si>
  <si>
    <t xml:space="preserve">placas de extintor indicando a localização de extintor </t>
  </si>
  <si>
    <t>17.9</t>
  </si>
  <si>
    <t>Composição 17.9</t>
  </si>
  <si>
    <t>placas Perigo e proibido fumar</t>
  </si>
  <si>
    <t>ABRIGO DE GÁS</t>
  </si>
  <si>
    <t>17.10</t>
  </si>
  <si>
    <t>So000094990</t>
  </si>
  <si>
    <r>
      <t xml:space="preserve">EXECUÇÃO DE </t>
    </r>
    <r>
      <rPr>
        <strike/>
        <sz val="11"/>
        <rFont val="Times New Roman"/>
        <family val="1"/>
      </rPr>
      <t xml:space="preserve">PASSEIO (CALÇADA) OU </t>
    </r>
    <r>
      <rPr>
        <sz val="11"/>
        <rFont val="Times New Roman"/>
        <family val="1"/>
      </rPr>
      <t>PISO DE CONCRETO COM CONCRETO MOLDADO IN LOCO, FEITO EM OBRA, ACABAMENTO CONVENCIONAL, NÃO ARMADO. AF_07/2016</t>
    </r>
    <r>
      <rPr>
        <b/>
        <u val="single"/>
        <sz val="11"/>
        <rFont val="Times New Roman"/>
        <family val="1"/>
      </rPr>
      <t xml:space="preserve"> ( PISO )</t>
    </r>
  </si>
  <si>
    <t>EXECUÇÃO DE PASSEIO (CALÇADA) OU PISO DE CONCRETO COM CONCRETO MOLDADO IN LOCO, FEITO EM OBRA, ACABAMENTO CONVENCIONAL, NÃO ARMADO. AF_07/2016</t>
  </si>
  <si>
    <t>17.11</t>
  </si>
  <si>
    <t>So000094966</t>
  </si>
  <si>
    <r>
      <t>CONCRETO FCK = 30MPA, TRAÇO 1:2,1:2,5 (CIMENTO/ AREIA MÉDIA/ BRITA 1)  - PREPARO MECÂNICO COM BETONEIRA 400 L. AF_07/2016 -</t>
    </r>
    <r>
      <rPr>
        <b/>
        <u val="single"/>
        <sz val="11"/>
        <rFont val="Times New Roman"/>
        <family val="1"/>
      </rPr>
      <t>( LAJE )</t>
    </r>
  </si>
  <si>
    <t>CONCRETO FCK = 30MPA, TRAÇO 1:2,1:2,5 (CIMENTO/ AREIA MÉDIA/ BRITA 1)  - PREPARO MECÂNICO COM BETONEIRA 400 L. AF_07/2016</t>
  </si>
  <si>
    <t>17.12</t>
  </si>
  <si>
    <t>So000092873</t>
  </si>
  <si>
    <r>
      <t xml:space="preserve">LANÇAMENTO COM USO DE BALDES, ADENSAMENTO E ACABAMENTO DE CONCRETO EM ESTRUTURAS. AF_12/2015 - </t>
    </r>
    <r>
      <rPr>
        <b/>
        <u val="single"/>
        <sz val="11"/>
        <rFont val="Times New Roman"/>
        <family val="1"/>
      </rPr>
      <t>(LAJE)</t>
    </r>
  </si>
  <si>
    <t>LANÇAMENTO COM USO DE BALDES, ADENSAMENTO E ACABAMENTO DE CONCRETO EM ESTRUTURAS. AF_12/2015</t>
  </si>
  <si>
    <t>17.13</t>
  </si>
  <si>
    <t>So000087448</t>
  </si>
  <si>
    <t>ALVENARIA DE VEDAÇÃO DE BLOCOS VAZADOS DE CONCRETO DE 9X19X39CM (ESPESSURA 9CM) DE PAREDES COM ÁREA LÍQUIDA MENOR QUE 6M² SEM VÃOS E ARGAMASSA DE ASSENTAMENTO COM PREPARO MANUAL. AF_06/2014</t>
  </si>
  <si>
    <t>So37395</t>
  </si>
  <si>
    <t>PINO DE ACO COM FURO, HASTE = 27 MM (ACAO DIRETA)</t>
  </si>
  <si>
    <t>So34557</t>
  </si>
  <si>
    <t>TELA DE ACO SOLDADA GALVANIZADA/ZINCADA PARA ALVENARIA, FIO D = *1,20 A 1,70* MM, MALHA 15 X 15 MM, (C X L) *50 X 7,5* CM</t>
  </si>
  <si>
    <t>So00650</t>
  </si>
  <si>
    <t>BLOCO VEDACAO CONCRETO 9 X 19 X 39 CM (CLASSE C - NBR 6136)</t>
  </si>
  <si>
    <t>So000087369</t>
  </si>
  <si>
    <t>So000087369 ARGAMASSA TRAÇO 1:2:8 (CIMENTO, CAL E AREIA MÉDIA) PARA EMBOÇO/MASSA ÚNICA/ASSENTAMENTO DE ALVENARIA DE VEDAÇÃO, PREPARO MANUAL. AF_06/2014</t>
  </si>
  <si>
    <t>17.14</t>
  </si>
  <si>
    <t>11.003.0052-0</t>
  </si>
  <si>
    <t>PREENCHIMENTO COM CONCRETO DE 20MPA EM VAZIOS DE ALVENARIA DE BLOCOS DE CONCRETO 10X20X40CM,EM PAREDES DE 10CM,MEDIDO PE LA AREA REAL,EXCLUSIVE ARMACAO E A ALVENARIA (OBS.:3%-DESGASTE DE FERRAMENTAS E EPI).</t>
  </si>
  <si>
    <t>01637</t>
  </si>
  <si>
    <t>11.001.0006-1 CONCRETO FCK 20MPA</t>
  </si>
  <si>
    <t>17.15</t>
  </si>
  <si>
    <t>So000087878</t>
  </si>
  <si>
    <t>CHAPISCO APLICADO EM ALVENARIAS E ESTRUTURAS DE CONCRETO INTERNAS, COM COLHER DE PEDREIRO.  ARGAMASSA TRAÇO 1:3 COM PREPARO MANUAL. AF_06/2014</t>
  </si>
  <si>
    <t>ALVENARIA E TETO</t>
  </si>
  <si>
    <t>So000087377</t>
  </si>
  <si>
    <t>So000087377 ARGAMASSA TRAÇO 1:3 (CIMENTO E AREIA GROSSA) PARA CHAPISCO CONVENCIONAL, PREPARO MANUAL. AF_06/2014</t>
  </si>
  <si>
    <t>17.16</t>
  </si>
  <si>
    <t>So000087527</t>
  </si>
  <si>
    <t>EMBOÇO, PARA RECEBIMENTO DE CERÂMICA, EM ARGAMASSA TRAÇO 1:2:8, PREPARO MECÂNICO COM BETONEIRA 400L, APLICADO MANUALMENTE EM FACES INTERNAS DE PAREDES, PARA AMBIENTE COM ÁREA MENOR QUE 5M2, ESPESSURA DE 20MM, COM EXECUÇÃO DE TALISCAS. AF_06/2014</t>
  </si>
  <si>
    <t>17.17</t>
  </si>
  <si>
    <t>So000085014</t>
  </si>
  <si>
    <t>CAIXILHO FIXO, DE ALUMINIO, COM TELA DE METAL FIO 12 MALHA 3X3CM</t>
  </si>
  <si>
    <t>VER COM PROJETISTA</t>
  </si>
  <si>
    <t>So40707</t>
  </si>
  <si>
    <t>TELA DE ARAME GALV REVESTIDO EM PVC, QUADRANGULAR/LOSANGULAR, FIO 2,77 MM (12 BWG), MALHA 3 X 3 CM, H = 2 M</t>
  </si>
  <si>
    <t>So00599</t>
  </si>
  <si>
    <t>JANELA FIXA EM ALUMINIO, 60  X 80 CM (A X L), BATENTE/REQUADRO DE 3 A 14 CM, COM VIDRO, SEM GUARNICAO/ALIZAR</t>
  </si>
  <si>
    <t>So000088627</t>
  </si>
  <si>
    <t>So000088627 ARGAMASSA TRAÇO 1:0,5:4,5 (CIMENTO, CAL E AREIA MÉDIA) PARA ASSENTAMENTO DE ALVENARIA, PREPARO MANUAL. AF_08/2014</t>
  </si>
  <si>
    <t>17.18</t>
  </si>
  <si>
    <t>So000098679</t>
  </si>
  <si>
    <t>PISO CIMENTADO, TRAÇO 1:3 (CIMENTO E AREIA), ACABAMENTO LISO, ESPESSURA 2,0 CM, PREPARO MECÂNICO DA ARGAMASSA. AF_06/2018</t>
  </si>
  <si>
    <t>So03671</t>
  </si>
  <si>
    <t>JUNTA PLASTICA DE DILATACAO PARA PISOS, COR CINZA, 17 X 3 MM (ALTURA X ESPESSURA)</t>
  </si>
  <si>
    <t>So000087298</t>
  </si>
  <si>
    <t>So000087298 ARGAMASSA TRAÇO 1:3 (CIMENTO E AREIA MÉDIA) PARA CONTRAPISO, PREPARO MECÂNICO COM BETONEIRA 400 L. AF_06/2014</t>
  </si>
  <si>
    <t>17.19</t>
  </si>
  <si>
    <t>17.20</t>
  </si>
  <si>
    <t>EXECUÇÃO DE PASSEIO (CALÇADA) OU PISO DE CONCRETO COM CONCRETO MOLDADO IN LOCO, FEITO EM OBRA, ACABAMENTO CONVENCIONAL, NÃO ARMADO. AF_07/2016 ( PISO )</t>
  </si>
  <si>
    <t>CONCRETO FCK = 30MPA, TRAÇO 1:2,1:2,5 (CIMENTO/ AREIA MÉDIA/ BRITA 1)  - PREPARO MECÂNICO COM BETONEIRA 400 L. AF_07/2016 -( LAJE )</t>
  </si>
  <si>
    <t>LANÇAMENTO COM USO DE BALDES, ADENSAMENTO E ACABAMENTO DE CONCRETO EM ESTRUTURAS. AF_12/2015 - (LAJE)</t>
  </si>
  <si>
    <t>fornecimento e instalação de placa de sinalização de rota de fuga pela esquerda com utilização de fita dupla face.</t>
  </si>
  <si>
    <t>fornecimento e instalação de placa de sinalização de rota de fuga pela direita com utilização de fita dupla face.</t>
  </si>
  <si>
    <t>fornecimento e instalação de placa de sinalização de rota de fuga descendo pela escada com utilização de fita dupla face.</t>
  </si>
  <si>
    <t>fornecimento e instalação de placa indicando saídas de emergência com utilização de fita dupla face.</t>
  </si>
  <si>
    <t>fornecimento e instalação de placa indicativa de extintor com utilização de fita dupla face.</t>
  </si>
  <si>
    <t>fornecimento e instalação de placa Perigo e proibido fumar.</t>
  </si>
  <si>
    <t>So73933/001</t>
  </si>
  <si>
    <t>PORTA DE FERRO, DE ABRIR, TIPO GRADE COM CHAPA, 87X210CM, COM GUARNICOES</t>
  </si>
  <si>
    <t>So04930</t>
  </si>
  <si>
    <t>PORTA DE ABRIR EM GRADIL COM BARRA CHATA 3 CM X 1/4", COM REQUADRO E GUARNICAO - COMPLETO - ACABAMENTO NATURAL</t>
  </si>
  <si>
    <t>So11756</t>
  </si>
  <si>
    <t>REGISTRO OU REGULADOR DE GAS COZINHA, VAZAO DE 2 KG/H, 2,8 KPA</t>
  </si>
  <si>
    <t>17.22</t>
  </si>
  <si>
    <t>17.21</t>
  </si>
  <si>
    <t>Fornecimento e instalação de registro de fecho rápido(REGISTRO DE CORTE) inclusive TREDOLET COM VÁLVULA DE RETENÇAO.</t>
  </si>
  <si>
    <t>unid.</t>
  </si>
  <si>
    <t>Composição 17.22</t>
  </si>
  <si>
    <t>So000097328</t>
  </si>
  <si>
    <t>TUBO EM COBRE FLEXÍVEL, DN 3/8", COM ISOLAMENTO, INSTALADO EM RAMAL DE ALIMENTAÇÃO DE AR CONDICIONADO COM CONDENSADORA INDIVIDUAL  FORNECIMENTO E INSTALAÇÃO. AF_12/2015</t>
  </si>
  <si>
    <t>So39741</t>
  </si>
  <si>
    <t>TUBO DE BORRACHA ELASTOMERICA FLEXIVEL, PRETA, PARA ISOLAMENTO TERMICO DE TUBULACAO, DN 3/8" (10 MM), E= 19 MM, COEFICIENTE DE CONDUTIVIDADE TERMICA 0,036W/mK, VAPOR DE AGUA MAIOR OU IGUAL A 10.000</t>
  </si>
  <si>
    <t>So39664</t>
  </si>
  <si>
    <t>TUBO DE COBRE FLEXIVEL, D = 3/8 ", E = 0,79 MM, PARA AR-CONDICIONADO/ INSTALACOES GAS RESIDENCIAIS E COMERCIAIS</t>
  </si>
  <si>
    <t>ELETRODUTO FLEXIVEL PLANO EM PEAD, COR PRETA E LARANJA,  DIAMETRO 32 MM</t>
  </si>
  <si>
    <t>So40401</t>
  </si>
  <si>
    <t>So000091859</t>
  </si>
  <si>
    <t>ELETRODUTO FLEXÍVEL LISO, PEAD, DN 32 MM (1"), PARA CIRCUITOS TERMINAIS, INSTALADO EM PAREDE - FORNECIMENTO E INSTALAÇÃO. AF_12/2015</t>
  </si>
  <si>
    <t>1.2</t>
  </si>
  <si>
    <t>02.002.0012-0</t>
  </si>
  <si>
    <t>TAPUME DE VEDACAO OU PROTECAO,EXECUTADO COM TELHAS TRAPEZOIDAIS DE ACO GALVANIZADO,ESPESSURA DE 0,5MM,ESTAS COM 2 VEZES DE UTILIZACAO,INCLUSIVE ENGRADAMENTO DE MADEIRA,UTILIZADO 2VEZES,EXCLUSIVE PINTURA (OBS.:3% - DESGASTE DE FERRAMENTAS E EPI).</t>
  </si>
  <si>
    <t>13732</t>
  </si>
  <si>
    <t>TELHA TRAPEZOIDAL EM ACO GALVANIZADO, ESPESSURA DE 0,5MM</t>
  </si>
  <si>
    <t>04.014.0095-0</t>
  </si>
  <si>
    <t>RETIRADA DE ENTULHO DE OBRA COM CACAMBA DE ACO TIPO CONTAINER COM 5M3 DE CAPACIDADE,INCLUSIVE CARREGAMENTO,TRANSPORTE E DESCARREGAMENTO.CUSTO POR UNIDADE DE CACAMBA E INCLUI A TAXA PARA DESCARGA EM LOCAIS AUTORIZADOS (OBS.:3%-DESGASTE DE FERRAMENTAS E EPI).</t>
  </si>
  <si>
    <t>10962</t>
  </si>
  <si>
    <t>ALUGUEL CACAMBA DE ACO TIPO CONTAINER C/5M3 CAPAC.P/RETIRADA ENTULHO OBRA,INCLUSIVE CARREGAM.,TRANSP.E DESCARREGAMENTO</t>
  </si>
  <si>
    <t>So000094994 ALTERADO</t>
  </si>
  <si>
    <t>Composição 14.3</t>
  </si>
  <si>
    <t>m3</t>
  </si>
  <si>
    <t>3.11</t>
  </si>
  <si>
    <t>So00000097635</t>
  </si>
  <si>
    <t>DEMOLIÇÃO DE PAVIMENTO INTERTRAVADO, DE FORMA MANUAL, COM REAPROVEITAMENTO. AF_12/2017</t>
  </si>
  <si>
    <t>So00000088316</t>
  </si>
  <si>
    <t>So00000088260</t>
  </si>
  <si>
    <t>CALCETEIRO COM ENCARGOS COMPLEMENTARES</t>
  </si>
  <si>
    <t>3</t>
  </si>
  <si>
    <t>03</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</si>
</sst>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0.000000"/>
    <numFmt numFmtId="172" formatCode="0.000"/>
    <numFmt numFmtId="173" formatCode="0.0000"/>
    <numFmt numFmtId="174" formatCode="dd/mm/yy;@"/>
    <numFmt numFmtId="175" formatCode="#,##0.0000"/>
    <numFmt numFmtId="176" formatCode="#,##0.00_ ;[Red]\-#,##0.00\ "/>
    <numFmt numFmtId="177" formatCode="#,##0.0"/>
    <numFmt numFmtId="178" formatCode="_(\ #,##0.00_);_(\ \(#,##0.00\);_(\ &quot;-&quot;??_);_(@_)"/>
    <numFmt numFmtId="179" formatCode="0.0"/>
    <numFmt numFmtId="180" formatCode="#,##0.000_ ;[Red]\-#,##0.000\ "/>
    <numFmt numFmtId="181" formatCode="#,##0.0000_ ;[Red]\-#,##0.0000\ "/>
  </numFmts>
  <fonts count="94">
    <font>
      <sz val="10"/>
      <name val="Arial"/>
      <family val="0"/>
    </font>
    <font>
      <sz val="11"/>
      <color indexed="8"/>
      <name val="Calibri"/>
      <family val="2"/>
    </font>
    <font>
      <b/>
      <sz val="12"/>
      <name val="Times New Roman"/>
      <family val="1"/>
    </font>
    <font>
      <sz val="11"/>
      <color indexed="8"/>
      <name val="Times New Roman"/>
      <family val="1"/>
    </font>
    <font>
      <sz val="11"/>
      <name val="Times New Roman"/>
      <family val="1"/>
    </font>
    <font>
      <sz val="9"/>
      <name val="Times New Roman"/>
      <family val="1"/>
    </font>
    <font>
      <b/>
      <sz val="11"/>
      <name val="Times New Roman"/>
      <family val="1"/>
    </font>
    <font>
      <strike/>
      <sz val="11"/>
      <name val="Times New Roman"/>
      <family val="1"/>
    </font>
    <font>
      <strike/>
      <sz val="11"/>
      <color indexed="8"/>
      <name val="Times New Roman"/>
      <family val="1"/>
    </font>
    <font>
      <sz val="12"/>
      <name val="Times New Roman"/>
      <family val="1"/>
    </font>
    <font>
      <b/>
      <sz val="14"/>
      <name val="Times New Roman"/>
      <family val="1"/>
    </font>
    <font>
      <sz val="14"/>
      <name val="Times New Roman"/>
      <family val="1"/>
    </font>
    <font>
      <b/>
      <sz val="10"/>
      <name val="Arial"/>
      <family val="2"/>
    </font>
    <font>
      <b/>
      <sz val="12"/>
      <name val="Arial"/>
      <family val="2"/>
    </font>
    <font>
      <sz val="12"/>
      <color indexed="8"/>
      <name val="Times New Roman"/>
      <family val="1"/>
    </font>
    <font>
      <sz val="12"/>
      <name val="Arial"/>
      <family val="2"/>
    </font>
    <font>
      <sz val="16"/>
      <name val="Times New Roman"/>
      <family val="1"/>
    </font>
    <font>
      <strike/>
      <sz val="12"/>
      <name val="Times New Roman"/>
      <family val="1"/>
    </font>
    <font>
      <sz val="14"/>
      <name val="Arial"/>
      <family val="2"/>
    </font>
    <font>
      <b/>
      <sz val="14"/>
      <name val="Arial"/>
      <family val="2"/>
    </font>
    <font>
      <b/>
      <i/>
      <u val="single"/>
      <sz val="14"/>
      <color indexed="8"/>
      <name val="Arial"/>
      <family val="2"/>
    </font>
    <font>
      <b/>
      <u val="single"/>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Times New Roman"/>
      <family val="1"/>
    </font>
    <font>
      <b/>
      <sz val="14"/>
      <color indexed="8"/>
      <name val="Times New Roman"/>
      <family val="1"/>
    </font>
    <font>
      <sz val="11"/>
      <color indexed="10"/>
      <name val="Times New Roman"/>
      <family val="1"/>
    </font>
    <font>
      <b/>
      <sz val="14"/>
      <color indexed="10"/>
      <name val="Times New Roman"/>
      <family val="1"/>
    </font>
    <font>
      <b/>
      <sz val="12"/>
      <color indexed="8"/>
      <name val="Times New Roman"/>
      <family val="1"/>
    </font>
    <font>
      <b/>
      <sz val="12"/>
      <color indexed="10"/>
      <name val="Arial"/>
      <family val="2"/>
    </font>
    <font>
      <b/>
      <sz val="12"/>
      <color indexed="10"/>
      <name val="Times New Roman"/>
      <family val="1"/>
    </font>
    <font>
      <b/>
      <sz val="12"/>
      <color indexed="8"/>
      <name val="Arial"/>
      <family val="2"/>
    </font>
    <font>
      <b/>
      <sz val="10"/>
      <color indexed="8"/>
      <name val="Times New Roman"/>
      <family val="1"/>
    </font>
    <font>
      <b/>
      <sz val="16"/>
      <color indexed="8"/>
      <name val="Times New Roman"/>
      <family val="1"/>
    </font>
    <font>
      <sz val="16"/>
      <color indexed="8"/>
      <name val="Times New Roman"/>
      <family val="1"/>
    </font>
    <font>
      <sz val="14"/>
      <color indexed="8"/>
      <name val="Times New Roman"/>
      <family val="1"/>
    </font>
    <font>
      <strike/>
      <sz val="12"/>
      <color indexed="8"/>
      <name val="Times New Roman"/>
      <family val="1"/>
    </font>
    <font>
      <b/>
      <sz val="11"/>
      <color indexed="10"/>
      <name val="Times New Roman"/>
      <family val="1"/>
    </font>
    <font>
      <sz val="12"/>
      <color indexed="10"/>
      <name val="Times New Roman"/>
      <family val="1"/>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Times New Roman"/>
      <family val="1"/>
    </font>
    <font>
      <b/>
      <sz val="14"/>
      <color theme="1"/>
      <name val="Times New Roman"/>
      <family val="1"/>
    </font>
    <font>
      <sz val="11"/>
      <color theme="1"/>
      <name val="Times New Roman"/>
      <family val="1"/>
    </font>
    <font>
      <sz val="12"/>
      <color theme="1"/>
      <name val="Times New Roman"/>
      <family val="1"/>
    </font>
    <font>
      <sz val="11"/>
      <color rgb="FFFF0000"/>
      <name val="Times New Roman"/>
      <family val="1"/>
    </font>
    <font>
      <b/>
      <sz val="14"/>
      <color rgb="FFFF0000"/>
      <name val="Times New Roman"/>
      <family val="1"/>
    </font>
    <font>
      <b/>
      <sz val="12"/>
      <color theme="1"/>
      <name val="Times New Roman"/>
      <family val="1"/>
    </font>
    <font>
      <b/>
      <sz val="12"/>
      <color rgb="FFFF0000"/>
      <name val="Arial"/>
      <family val="2"/>
    </font>
    <font>
      <b/>
      <sz val="12"/>
      <color rgb="FFFF0000"/>
      <name val="Times New Roman"/>
      <family val="1"/>
    </font>
    <font>
      <b/>
      <sz val="12"/>
      <color theme="1"/>
      <name val="Arial"/>
      <family val="2"/>
    </font>
    <font>
      <strike/>
      <sz val="11"/>
      <color theme="1"/>
      <name val="Times New Roman"/>
      <family val="1"/>
    </font>
    <font>
      <b/>
      <sz val="10"/>
      <color theme="1"/>
      <name val="Times New Roman"/>
      <family val="1"/>
    </font>
    <font>
      <b/>
      <sz val="16"/>
      <color theme="1"/>
      <name val="Times New Roman"/>
      <family val="1"/>
    </font>
    <font>
      <sz val="16"/>
      <color theme="1"/>
      <name val="Times New Roman"/>
      <family val="1"/>
    </font>
    <font>
      <sz val="14"/>
      <color theme="1"/>
      <name val="Times New Roman"/>
      <family val="1"/>
    </font>
    <font>
      <strike/>
      <sz val="12"/>
      <color theme="1"/>
      <name val="Times New Roman"/>
      <family val="1"/>
    </font>
    <font>
      <b/>
      <sz val="11"/>
      <color rgb="FFFF0000"/>
      <name val="Times New Roman"/>
      <family val="1"/>
    </font>
    <font>
      <sz val="12"/>
      <color rgb="FFFF0000"/>
      <name val="Times New Roman"/>
      <family val="1"/>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top/>
      <bottom style="thin"/>
    </border>
    <border>
      <left/>
      <right style="mediumDashed"/>
      <top/>
      <bottom/>
    </border>
    <border>
      <left/>
      <right style="thin"/>
      <top/>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mediumDashed"/>
      <right/>
      <top/>
      <bottom/>
    </border>
    <border>
      <left/>
      <right/>
      <top/>
      <bottom style="mediumDashed"/>
    </border>
    <border>
      <left/>
      <right style="mediumDashed"/>
      <top/>
      <bottom style="mediumDashed"/>
    </border>
    <border>
      <left style="thin"/>
      <right/>
      <top style="thin"/>
      <bottom style="thin"/>
    </border>
    <border>
      <left/>
      <right/>
      <top style="thin"/>
      <bottom style="thin"/>
    </border>
    <border>
      <left/>
      <right style="thin"/>
      <top style="thin"/>
      <bottom style="thin"/>
    </border>
    <border>
      <left style="mediumDashed"/>
      <right/>
      <top/>
      <bottom style="mediumDashed"/>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41"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cellStyleXfs>
  <cellXfs count="754">
    <xf numFmtId="0" fontId="0" fillId="0" borderId="0" xfId="0" applyAlignment="1">
      <alignment/>
    </xf>
    <xf numFmtId="170" fontId="4" fillId="0" borderId="0" xfId="0" applyNumberFormat="1" applyFont="1" applyFill="1" applyAlignment="1">
      <alignment/>
    </xf>
    <xf numFmtId="0" fontId="4" fillId="0" borderId="0" xfId="0" applyFont="1" applyFill="1" applyAlignment="1">
      <alignment/>
    </xf>
    <xf numFmtId="170" fontId="4" fillId="0" borderId="0" xfId="0" applyNumberFormat="1" applyFont="1" applyFill="1" applyBorder="1" applyAlignment="1">
      <alignment/>
    </xf>
    <xf numFmtId="0" fontId="6" fillId="0" borderId="0" xfId="0" applyFont="1" applyFill="1" applyAlignment="1">
      <alignment/>
    </xf>
    <xf numFmtId="4" fontId="75" fillId="0" borderId="10" xfId="0" applyNumberFormat="1" applyFont="1" applyFill="1" applyBorder="1" applyAlignment="1">
      <alignment/>
    </xf>
    <xf numFmtId="4" fontId="75" fillId="0" borderId="0" xfId="0" applyNumberFormat="1" applyFont="1" applyFill="1" applyBorder="1" applyAlignment="1">
      <alignment/>
    </xf>
    <xf numFmtId="170" fontId="6" fillId="0" borderId="0" xfId="0" applyNumberFormat="1" applyFont="1" applyFill="1" applyBorder="1" applyAlignment="1">
      <alignment/>
    </xf>
    <xf numFmtId="4" fontId="4" fillId="0" borderId="11" xfId="0" applyNumberFormat="1" applyFont="1" applyFill="1" applyBorder="1" applyAlignment="1">
      <alignment/>
    </xf>
    <xf numFmtId="4" fontId="4" fillId="0" borderId="0" xfId="0" applyNumberFormat="1" applyFont="1" applyFill="1" applyAlignment="1">
      <alignment/>
    </xf>
    <xf numFmtId="0" fontId="4" fillId="0" borderId="0" xfId="0" applyFont="1" applyFill="1" applyBorder="1" applyAlignment="1">
      <alignment/>
    </xf>
    <xf numFmtId="4" fontId="2" fillId="0" borderId="12"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xf>
    <xf numFmtId="0" fontId="4" fillId="0" borderId="11" xfId="0" applyFont="1" applyFill="1" applyBorder="1" applyAlignment="1">
      <alignment/>
    </xf>
    <xf numFmtId="49" fontId="76" fillId="0" borderId="0" xfId="55" applyNumberFormat="1" applyFont="1" applyFill="1" applyBorder="1" applyAlignment="1">
      <alignment horizontal="center" vertical="center"/>
      <protection/>
    </xf>
    <xf numFmtId="0" fontId="10" fillId="0" borderId="0" xfId="0" applyFont="1" applyFill="1" applyAlignment="1">
      <alignment horizontal="center" vertical="center"/>
    </xf>
    <xf numFmtId="0" fontId="4" fillId="0" borderId="0" xfId="0" applyFont="1" applyFill="1" applyBorder="1" applyAlignment="1">
      <alignment/>
    </xf>
    <xf numFmtId="49" fontId="76" fillId="0" borderId="0" xfId="51" applyNumberFormat="1" applyFont="1" applyFill="1" applyBorder="1" applyAlignment="1">
      <alignment horizontal="center"/>
      <protection/>
    </xf>
    <xf numFmtId="170" fontId="77" fillId="0" borderId="0" xfId="51" applyNumberFormat="1" applyFont="1" applyFill="1" applyBorder="1">
      <alignment/>
      <protection/>
    </xf>
    <xf numFmtId="3" fontId="4" fillId="0" borderId="0" xfId="51" applyNumberFormat="1" applyFont="1" applyFill="1" applyBorder="1" applyAlignment="1">
      <alignment horizontal="center" vertical="center" wrapText="1"/>
      <protection/>
    </xf>
    <xf numFmtId="170" fontId="4" fillId="0" borderId="0" xfId="51" applyNumberFormat="1" applyFont="1" applyFill="1" applyBorder="1" applyAlignment="1">
      <alignment horizontal="right" wrapText="1"/>
      <protection/>
    </xf>
    <xf numFmtId="0" fontId="4" fillId="0" borderId="0" xfId="0" applyFont="1" applyFill="1" applyBorder="1" applyAlignment="1">
      <alignment horizontal="center" vertical="center"/>
    </xf>
    <xf numFmtId="0" fontId="77"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5" fillId="0" borderId="0" xfId="0" applyFont="1" applyFill="1" applyAlignment="1">
      <alignment horizontal="center"/>
    </xf>
    <xf numFmtId="170" fontId="4" fillId="0" borderId="11" xfId="0" applyNumberFormat="1" applyFont="1" applyFill="1" applyBorder="1" applyAlignment="1">
      <alignment/>
    </xf>
    <xf numFmtId="0" fontId="10" fillId="0" borderId="11" xfId="0" applyFont="1" applyFill="1" applyBorder="1" applyAlignment="1">
      <alignment horizontal="center" vertical="center"/>
    </xf>
    <xf numFmtId="0" fontId="5" fillId="0" borderId="0" xfId="0" applyFont="1" applyFill="1" applyAlignment="1">
      <alignment horizontal="center" vertical="center"/>
    </xf>
    <xf numFmtId="0" fontId="9" fillId="0" borderId="0" xfId="51" applyFont="1">
      <alignment/>
      <protection/>
    </xf>
    <xf numFmtId="44" fontId="0" fillId="0" borderId="0" xfId="0" applyNumberFormat="1" applyAlignment="1">
      <alignment/>
    </xf>
    <xf numFmtId="49" fontId="78" fillId="0" borderId="10" xfId="54" applyNumberFormat="1" applyFont="1" applyFill="1" applyBorder="1" applyAlignment="1">
      <alignment horizontal="left" vertical="center"/>
      <protection/>
    </xf>
    <xf numFmtId="49" fontId="78" fillId="0" borderId="10" xfId="51" applyNumberFormat="1" applyFont="1" applyFill="1" applyBorder="1" applyAlignment="1">
      <alignment horizontal="center" vertical="center"/>
      <protection/>
    </xf>
    <xf numFmtId="49" fontId="9" fillId="0" borderId="10" xfId="0" applyNumberFormat="1" applyFont="1" applyBorder="1" applyAlignment="1">
      <alignment horizontal="center" vertical="center"/>
    </xf>
    <xf numFmtId="49" fontId="78" fillId="0" borderId="0" xfId="54" applyNumberFormat="1" applyFont="1" applyFill="1" applyBorder="1" applyAlignment="1">
      <alignment horizontal="left" vertical="center"/>
      <protection/>
    </xf>
    <xf numFmtId="49" fontId="9" fillId="0" borderId="0" xfId="0" applyNumberFormat="1" applyFont="1" applyBorder="1" applyAlignment="1">
      <alignment horizontal="left" vertical="center"/>
    </xf>
    <xf numFmtId="49" fontId="78" fillId="0" borderId="0" xfId="51" applyNumberFormat="1" applyFont="1" applyFill="1" applyBorder="1" applyAlignment="1">
      <alignment horizontal="center" vertical="center"/>
      <protection/>
    </xf>
    <xf numFmtId="49" fontId="78" fillId="0" borderId="0" xfId="54" applyNumberFormat="1" applyFont="1" applyFill="1" applyBorder="1" applyAlignment="1">
      <alignment horizontal="center" vertical="center"/>
      <protection/>
    </xf>
    <xf numFmtId="49" fontId="9" fillId="0" borderId="14" xfId="0" applyNumberFormat="1" applyFont="1" applyBorder="1" applyAlignment="1">
      <alignment horizontal="center" vertical="center"/>
    </xf>
    <xf numFmtId="49" fontId="4"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78" fillId="0" borderId="16" xfId="54" applyNumberFormat="1" applyFont="1" applyFill="1" applyBorder="1" applyAlignment="1">
      <alignment horizontal="center" vertical="center"/>
      <protection/>
    </xf>
    <xf numFmtId="0" fontId="7" fillId="0" borderId="0" xfId="0" applyFont="1" applyFill="1" applyAlignment="1">
      <alignment/>
    </xf>
    <xf numFmtId="49" fontId="9" fillId="0" borderId="0" xfId="0" applyNumberFormat="1" applyFont="1" applyFill="1" applyBorder="1" applyAlignment="1">
      <alignment horizontal="center" vertical="center"/>
    </xf>
    <xf numFmtId="170" fontId="9" fillId="0" borderId="14" xfId="0" applyNumberFormat="1" applyFont="1" applyFill="1" applyBorder="1" applyAlignment="1">
      <alignment horizontal="center" vertical="center"/>
    </xf>
    <xf numFmtId="0" fontId="0" fillId="0" borderId="0" xfId="0" applyBorder="1" applyAlignment="1">
      <alignment/>
    </xf>
    <xf numFmtId="0" fontId="0" fillId="0" borderId="17" xfId="0" applyBorder="1" applyAlignment="1">
      <alignment/>
    </xf>
    <xf numFmtId="0" fontId="9" fillId="0" borderId="0" xfId="0" applyFont="1" applyFill="1" applyAlignment="1">
      <alignment/>
    </xf>
    <xf numFmtId="170" fontId="4" fillId="0" borderId="0" xfId="51" applyNumberFormat="1" applyFont="1" applyFill="1" applyBorder="1" applyAlignment="1">
      <alignment horizontal="center" vertical="center" wrapText="1"/>
      <protection/>
    </xf>
    <xf numFmtId="0" fontId="4" fillId="33" borderId="0" xfId="0" applyFont="1" applyFill="1" applyAlignment="1">
      <alignment/>
    </xf>
    <xf numFmtId="0" fontId="10" fillId="33" borderId="0" xfId="0" applyFont="1" applyFill="1" applyAlignment="1">
      <alignment horizontal="center" vertical="center"/>
    </xf>
    <xf numFmtId="0" fontId="79" fillId="0" borderId="0" xfId="0" applyFont="1" applyFill="1" applyAlignment="1">
      <alignment/>
    </xf>
    <xf numFmtId="0" fontId="80" fillId="33" borderId="0" xfId="0" applyFont="1" applyFill="1" applyAlignment="1">
      <alignment horizontal="center" vertical="center"/>
    </xf>
    <xf numFmtId="0" fontId="0" fillId="0" borderId="0" xfId="0" applyFont="1" applyAlignment="1">
      <alignment/>
    </xf>
    <xf numFmtId="4" fontId="77" fillId="0" borderId="0" xfId="0" applyNumberFormat="1" applyFont="1" applyFill="1" applyBorder="1" applyAlignment="1">
      <alignment horizontal="justify" vertical="center" wrapText="1"/>
    </xf>
    <xf numFmtId="0" fontId="4" fillId="33" borderId="0" xfId="0" applyFont="1" applyFill="1" applyBorder="1" applyAlignment="1">
      <alignment/>
    </xf>
    <xf numFmtId="0" fontId="4" fillId="33" borderId="0" xfId="0" applyFont="1" applyFill="1" applyBorder="1" applyAlignment="1">
      <alignment/>
    </xf>
    <xf numFmtId="170" fontId="4" fillId="33" borderId="0" xfId="0" applyNumberFormat="1" applyFont="1" applyFill="1" applyBorder="1" applyAlignment="1">
      <alignment/>
    </xf>
    <xf numFmtId="0" fontId="10" fillId="33" borderId="0" xfId="0" applyFont="1" applyFill="1" applyBorder="1" applyAlignment="1">
      <alignment horizontal="center" vertical="center"/>
    </xf>
    <xf numFmtId="4" fontId="4" fillId="33" borderId="11" xfId="0" applyNumberFormat="1" applyFont="1" applyFill="1" applyBorder="1" applyAlignment="1">
      <alignment/>
    </xf>
    <xf numFmtId="170" fontId="4" fillId="33" borderId="11" xfId="0" applyNumberFormat="1" applyFont="1" applyFill="1" applyBorder="1" applyAlignment="1">
      <alignment/>
    </xf>
    <xf numFmtId="4" fontId="2" fillId="0" borderId="12" xfId="0" applyNumberFormat="1" applyFont="1" applyFill="1" applyBorder="1" applyAlignment="1">
      <alignment/>
    </xf>
    <xf numFmtId="4" fontId="9" fillId="0" borderId="10" xfId="0" applyNumberFormat="1" applyFont="1" applyFill="1" applyBorder="1" applyAlignment="1">
      <alignment horizontal="center" vertical="center"/>
    </xf>
    <xf numFmtId="49" fontId="81" fillId="0" borderId="11" xfId="51" applyNumberFormat="1" applyFont="1" applyFill="1" applyBorder="1" applyAlignment="1">
      <alignment horizontal="center" vertical="center"/>
      <protection/>
    </xf>
    <xf numFmtId="49" fontId="2" fillId="0" borderId="11" xfId="0" applyNumberFormat="1" applyFont="1" applyFill="1" applyBorder="1" applyAlignment="1">
      <alignment horizontal="center" vertical="center"/>
    </xf>
    <xf numFmtId="170" fontId="2" fillId="0" borderId="11" xfId="0" applyNumberFormat="1" applyFont="1" applyFill="1" applyBorder="1" applyAlignment="1">
      <alignment horizontal="center" vertical="center"/>
    </xf>
    <xf numFmtId="176" fontId="9" fillId="0" borderId="0" xfId="0" applyNumberFormat="1" applyFont="1" applyFill="1" applyAlignment="1">
      <alignment/>
    </xf>
    <xf numFmtId="4" fontId="2" fillId="0" borderId="13" xfId="0" applyNumberFormat="1" applyFont="1" applyFill="1" applyBorder="1" applyAlignment="1">
      <alignment/>
    </xf>
    <xf numFmtId="4" fontId="9" fillId="0" borderId="0" xfId="0" applyNumberFormat="1" applyFont="1" applyFill="1" applyBorder="1" applyAlignment="1">
      <alignment horizontal="center" vertical="center"/>
    </xf>
    <xf numFmtId="174" fontId="2" fillId="0" borderId="11" xfId="0" applyNumberFormat="1" applyFont="1" applyFill="1" applyBorder="1" applyAlignment="1">
      <alignment horizontal="center" vertical="center"/>
    </xf>
    <xf numFmtId="170" fontId="9" fillId="0" borderId="18" xfId="0" applyNumberFormat="1" applyFont="1" applyFill="1" applyBorder="1" applyAlignment="1">
      <alignment horizontal="center" vertical="center"/>
    </xf>
    <xf numFmtId="170" fontId="78" fillId="0" borderId="11" xfId="54" applyNumberFormat="1" applyFont="1" applyFill="1" applyBorder="1" applyAlignment="1">
      <alignment horizontal="right" vertical="center" wrapText="1"/>
      <protection/>
    </xf>
    <xf numFmtId="170" fontId="9" fillId="0" borderId="11" xfId="0" applyNumberFormat="1" applyFont="1" applyFill="1" applyBorder="1" applyAlignment="1">
      <alignment horizontal="right" vertical="center" wrapText="1"/>
    </xf>
    <xf numFmtId="170" fontId="9" fillId="0" borderId="11" xfId="54" applyNumberFormat="1" applyFont="1" applyFill="1" applyBorder="1" applyAlignment="1">
      <alignment horizontal="right" vertical="center" wrapText="1"/>
      <protection/>
    </xf>
    <xf numFmtId="49" fontId="78" fillId="0" borderId="13" xfId="51" applyNumberFormat="1" applyFont="1" applyFill="1" applyBorder="1" applyAlignment="1">
      <alignment vertical="center" wrapText="1"/>
      <protection/>
    </xf>
    <xf numFmtId="0" fontId="9" fillId="0" borderId="0" xfId="0" applyFont="1" applyFill="1" applyAlignment="1">
      <alignment vertical="center" wrapText="1"/>
    </xf>
    <xf numFmtId="4" fontId="78" fillId="0" borderId="13" xfId="51" applyNumberFormat="1" applyFont="1" applyFill="1" applyBorder="1" applyAlignment="1">
      <alignment vertical="center" wrapText="1" readingOrder="1"/>
      <protection/>
    </xf>
    <xf numFmtId="0" fontId="9" fillId="0" borderId="0" xfId="0" applyFont="1" applyFill="1" applyAlignment="1">
      <alignment vertical="center" wrapText="1" readingOrder="1"/>
    </xf>
    <xf numFmtId="0" fontId="82" fillId="0" borderId="0" xfId="0" applyFont="1" applyFill="1" applyAlignment="1">
      <alignment vertical="center" wrapText="1"/>
    </xf>
    <xf numFmtId="0" fontId="83" fillId="0" borderId="16" xfId="0" applyFont="1" applyFill="1" applyBorder="1" applyAlignment="1">
      <alignment vertical="center" wrapText="1" readingOrder="1"/>
    </xf>
    <xf numFmtId="4" fontId="2" fillId="0" borderId="13" xfId="51" applyNumberFormat="1" applyFont="1" applyFill="1" applyBorder="1" applyAlignment="1">
      <alignment vertical="center" wrapText="1" readingOrder="1"/>
      <protection/>
    </xf>
    <xf numFmtId="4" fontId="2" fillId="0" borderId="19" xfId="54" applyNumberFormat="1" applyFont="1" applyFill="1" applyBorder="1" applyAlignment="1">
      <alignment vertical="center" wrapText="1" readingOrder="1"/>
      <protection/>
    </xf>
    <xf numFmtId="170" fontId="9" fillId="0" borderId="11" xfId="0" applyNumberFormat="1" applyFont="1" applyFill="1" applyBorder="1" applyAlignment="1">
      <alignment horizontal="center" vertical="center" wrapText="1"/>
    </xf>
    <xf numFmtId="170" fontId="78" fillId="0" borderId="11" xfId="54" applyNumberFormat="1" applyFont="1" applyFill="1" applyBorder="1" applyAlignment="1">
      <alignment horizontal="center" vertical="center" wrapText="1"/>
      <protection/>
    </xf>
    <xf numFmtId="170" fontId="9" fillId="0" borderId="11" xfId="54" applyNumberFormat="1" applyFont="1" applyFill="1" applyBorder="1" applyAlignment="1">
      <alignment horizontal="center" vertical="center" wrapText="1"/>
      <protection/>
    </xf>
    <xf numFmtId="49" fontId="81" fillId="0" borderId="11" xfId="55" applyNumberFormat="1" applyFont="1" applyFill="1" applyBorder="1" applyAlignment="1">
      <alignment horizontal="center" vertical="center" wrapText="1"/>
      <protection/>
    </xf>
    <xf numFmtId="4" fontId="81" fillId="0" borderId="11" xfId="55" applyNumberFormat="1" applyFont="1" applyFill="1" applyBorder="1" applyAlignment="1">
      <alignment horizontal="left" vertical="center" wrapText="1"/>
      <protection/>
    </xf>
    <xf numFmtId="4" fontId="81" fillId="0" borderId="11" xfId="55" applyNumberFormat="1" applyFont="1" applyFill="1" applyBorder="1" applyAlignment="1">
      <alignment horizontal="center" wrapText="1"/>
      <protection/>
    </xf>
    <xf numFmtId="4" fontId="81" fillId="0" borderId="11" xfId="55" applyNumberFormat="1" applyFont="1" applyFill="1" applyBorder="1" applyAlignment="1">
      <alignment horizontal="center" vertical="center" wrapText="1"/>
      <protection/>
    </xf>
    <xf numFmtId="4" fontId="9" fillId="0" borderId="11" xfId="0" applyNumberFormat="1" applyFont="1" applyFill="1" applyBorder="1" applyAlignment="1">
      <alignment horizontal="center" vertical="center" wrapText="1"/>
    </xf>
    <xf numFmtId="170" fontId="81" fillId="0" borderId="11" xfId="55"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center"/>
    </xf>
    <xf numFmtId="4" fontId="9" fillId="0" borderId="11" xfId="0" applyNumberFormat="1" applyFont="1" applyFill="1" applyBorder="1" applyAlignment="1">
      <alignment/>
    </xf>
    <xf numFmtId="175" fontId="9" fillId="33" borderId="11" xfId="0" applyNumberFormat="1" applyFont="1" applyFill="1" applyBorder="1" applyAlignment="1">
      <alignment/>
    </xf>
    <xf numFmtId="170" fontId="9" fillId="0" borderId="11" xfId="0" applyNumberFormat="1" applyFont="1" applyFill="1" applyBorder="1" applyAlignment="1">
      <alignment/>
    </xf>
    <xf numFmtId="0" fontId="9" fillId="0" borderId="0" xfId="0" applyFont="1" applyFill="1" applyBorder="1" applyAlignment="1">
      <alignment/>
    </xf>
    <xf numFmtId="176" fontId="9" fillId="0" borderId="0" xfId="0" applyNumberFormat="1" applyFont="1" applyFill="1" applyBorder="1" applyAlignment="1">
      <alignment/>
    </xf>
    <xf numFmtId="49" fontId="81" fillId="34" borderId="11" xfId="55" applyNumberFormat="1" applyFont="1" applyFill="1" applyBorder="1" applyAlignment="1">
      <alignment horizontal="center" vertical="center"/>
      <protection/>
    </xf>
    <xf numFmtId="175" fontId="2" fillId="34" borderId="11" xfId="0" applyNumberFormat="1" applyFont="1" applyFill="1" applyBorder="1" applyAlignment="1">
      <alignment/>
    </xf>
    <xf numFmtId="4" fontId="2" fillId="34" borderId="11" xfId="0" applyNumberFormat="1" applyFont="1" applyFill="1" applyBorder="1" applyAlignment="1">
      <alignment/>
    </xf>
    <xf numFmtId="170" fontId="2" fillId="34" borderId="11" xfId="0" applyNumberFormat="1" applyFont="1" applyFill="1" applyBorder="1" applyAlignment="1">
      <alignment/>
    </xf>
    <xf numFmtId="175" fontId="81" fillId="0" borderId="11" xfId="55" applyNumberFormat="1" applyFont="1" applyFill="1" applyBorder="1" applyAlignment="1">
      <alignment horizontal="center" vertical="center" wrapText="1"/>
      <protection/>
    </xf>
    <xf numFmtId="175" fontId="9" fillId="0" borderId="11" xfId="0" applyNumberFormat="1" applyFont="1" applyFill="1" applyBorder="1" applyAlignment="1">
      <alignment/>
    </xf>
    <xf numFmtId="0" fontId="9" fillId="0" borderId="11" xfId="0" applyFont="1" applyFill="1" applyBorder="1" applyAlignment="1">
      <alignment horizontal="center" vertical="center" wrapText="1"/>
    </xf>
    <xf numFmtId="4" fontId="9" fillId="0" borderId="11" xfId="0" applyNumberFormat="1" applyFont="1" applyFill="1" applyBorder="1" applyAlignment="1">
      <alignment/>
    </xf>
    <xf numFmtId="0" fontId="9" fillId="0" borderId="0" xfId="0" applyFont="1" applyFill="1" applyBorder="1" applyAlignment="1">
      <alignment horizontal="center"/>
    </xf>
    <xf numFmtId="4" fontId="9" fillId="0" borderId="11" xfId="0" applyNumberFormat="1" applyFont="1" applyFill="1" applyBorder="1" applyAlignment="1">
      <alignment horizontal="right"/>
    </xf>
    <xf numFmtId="175" fontId="78" fillId="0" borderId="11" xfId="55" applyNumberFormat="1" applyFont="1" applyFill="1" applyBorder="1" applyAlignment="1">
      <alignment horizontal="right" wrapText="1"/>
      <protection/>
    </xf>
    <xf numFmtId="49" fontId="78" fillId="0" borderId="11" xfId="55" applyNumberFormat="1" applyFont="1" applyFill="1" applyBorder="1" applyAlignment="1">
      <alignment horizontal="center" vertical="center" wrapText="1"/>
      <protection/>
    </xf>
    <xf numFmtId="49" fontId="81" fillId="0" borderId="11" xfId="55" applyNumberFormat="1" applyFont="1" applyFill="1" applyBorder="1" applyAlignment="1">
      <alignment horizontal="center" vertical="center"/>
      <protection/>
    </xf>
    <xf numFmtId="49" fontId="78" fillId="0" borderId="11" xfId="55" applyNumberFormat="1" applyFont="1" applyFill="1" applyBorder="1" applyAlignment="1">
      <alignment horizontal="center" vertical="center"/>
      <protection/>
    </xf>
    <xf numFmtId="4" fontId="81" fillId="0" borderId="11" xfId="55" applyNumberFormat="1" applyFont="1" applyFill="1" applyBorder="1" applyAlignment="1">
      <alignment horizontal="right" vertical="center" wrapText="1"/>
      <protection/>
    </xf>
    <xf numFmtId="170" fontId="78" fillId="0" borderId="11" xfId="51" applyNumberFormat="1" applyFont="1" applyFill="1" applyBorder="1" applyAlignment="1">
      <alignment horizontal="center" vertical="center"/>
      <protection/>
    </xf>
    <xf numFmtId="170" fontId="78" fillId="0" borderId="11" xfId="51" applyNumberFormat="1" applyFont="1" applyFill="1" applyBorder="1" applyAlignment="1">
      <alignment horizontal="left" vertical="center" wrapText="1"/>
      <protection/>
    </xf>
    <xf numFmtId="170" fontId="78" fillId="0" borderId="11" xfId="51" applyNumberFormat="1" applyFont="1" applyFill="1" applyBorder="1" applyAlignment="1">
      <alignment horizontal="center"/>
      <protection/>
    </xf>
    <xf numFmtId="4" fontId="78" fillId="0" borderId="11" xfId="55" applyNumberFormat="1" applyFont="1" applyFill="1" applyBorder="1" applyAlignment="1">
      <alignment wrapText="1"/>
      <protection/>
    </xf>
    <xf numFmtId="4" fontId="78" fillId="0" borderId="11" xfId="0" applyNumberFormat="1" applyFont="1" applyFill="1" applyBorder="1" applyAlignment="1">
      <alignment horizontal="left" vertical="center" wrapText="1"/>
    </xf>
    <xf numFmtId="49" fontId="81" fillId="0" borderId="20"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left" vertical="center" wrapText="1"/>
      <protection/>
    </xf>
    <xf numFmtId="4" fontId="81" fillId="0" borderId="20" xfId="55" applyNumberFormat="1" applyFont="1" applyFill="1" applyBorder="1" applyAlignment="1">
      <alignment horizontal="center" wrapText="1"/>
      <protection/>
    </xf>
    <xf numFmtId="4" fontId="81" fillId="0" borderId="20" xfId="55" applyNumberFormat="1" applyFont="1" applyFill="1" applyBorder="1" applyAlignment="1">
      <alignment horizontal="center" vertical="center" wrapText="1"/>
      <protection/>
    </xf>
    <xf numFmtId="175" fontId="81" fillId="0" borderId="20" xfId="55" applyNumberFormat="1" applyFont="1" applyFill="1" applyBorder="1" applyAlignment="1">
      <alignment horizontal="center" vertical="center" wrapText="1"/>
      <protection/>
    </xf>
    <xf numFmtId="4" fontId="9" fillId="0" borderId="20" xfId="0" applyNumberFormat="1" applyFont="1" applyFill="1" applyBorder="1" applyAlignment="1">
      <alignment horizontal="center" vertical="center" wrapText="1"/>
    </xf>
    <xf numFmtId="4" fontId="78" fillId="0" borderId="11" xfId="55" applyNumberFormat="1" applyFont="1" applyFill="1" applyBorder="1" applyAlignment="1">
      <alignment horizontal="right" wrapText="1"/>
      <protection/>
    </xf>
    <xf numFmtId="4" fontId="78" fillId="0" borderId="11" xfId="55" applyNumberFormat="1" applyFont="1" applyFill="1" applyBorder="1" applyAlignment="1">
      <alignment horizontal="center" vertical="center" wrapText="1"/>
      <protection/>
    </xf>
    <xf numFmtId="0" fontId="78" fillId="0" borderId="11" xfId="0" applyFont="1" applyFill="1" applyBorder="1" applyAlignment="1">
      <alignment horizontal="center" wrapText="1"/>
    </xf>
    <xf numFmtId="175" fontId="2" fillId="0" borderId="20" xfId="0" applyNumberFormat="1" applyFont="1" applyFill="1" applyBorder="1" applyAlignment="1">
      <alignment/>
    </xf>
    <xf numFmtId="4" fontId="2" fillId="0" borderId="20" xfId="0" applyNumberFormat="1" applyFont="1" applyFill="1" applyBorder="1" applyAlignment="1">
      <alignment/>
    </xf>
    <xf numFmtId="0" fontId="9" fillId="0" borderId="11" xfId="0" applyFont="1" applyBorder="1" applyAlignment="1">
      <alignment horizontal="center" vertical="center"/>
    </xf>
    <xf numFmtId="0" fontId="9" fillId="0" borderId="11" xfId="0" applyFont="1" applyBorder="1" applyAlignment="1">
      <alignment horizontal="center"/>
    </xf>
    <xf numFmtId="170" fontId="9" fillId="0" borderId="11" xfId="0" applyNumberFormat="1" applyFont="1" applyFill="1" applyBorder="1" applyAlignment="1">
      <alignment/>
    </xf>
    <xf numFmtId="4" fontId="9" fillId="0" borderId="11" xfId="0" applyNumberFormat="1" applyFont="1" applyBorder="1" applyAlignment="1">
      <alignment/>
    </xf>
    <xf numFmtId="0" fontId="9" fillId="0" borderId="11" xfId="0" applyFont="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xf>
    <xf numFmtId="4" fontId="9" fillId="33" borderId="11" xfId="0" applyNumberFormat="1" applyFont="1" applyFill="1" applyBorder="1" applyAlignment="1">
      <alignment horizontal="right"/>
    </xf>
    <xf numFmtId="170" fontId="9" fillId="33" borderId="11" xfId="0" applyNumberFormat="1" applyFont="1" applyFill="1" applyBorder="1" applyAlignment="1">
      <alignment/>
    </xf>
    <xf numFmtId="0" fontId="9" fillId="33" borderId="0" xfId="0" applyFont="1" applyFill="1" applyAlignment="1">
      <alignment/>
    </xf>
    <xf numFmtId="176" fontId="9" fillId="33" borderId="0" xfId="0" applyNumberFormat="1" applyFont="1" applyFill="1" applyBorder="1" applyAlignment="1">
      <alignment/>
    </xf>
    <xf numFmtId="4" fontId="78" fillId="0" borderId="11" xfId="0" applyNumberFormat="1" applyFont="1" applyFill="1" applyBorder="1" applyAlignment="1">
      <alignment horizontal="right" wrapText="1"/>
    </xf>
    <xf numFmtId="4" fontId="78" fillId="0" borderId="11" xfId="55" applyNumberFormat="1" applyFont="1" applyFill="1" applyBorder="1" applyAlignment="1">
      <alignment horizontal="left" vertical="center" wrapText="1"/>
      <protection/>
    </xf>
    <xf numFmtId="0" fontId="9" fillId="0" borderId="11" xfId="0" applyFont="1" applyFill="1" applyBorder="1" applyAlignment="1">
      <alignment/>
    </xf>
    <xf numFmtId="49" fontId="81" fillId="0" borderId="21" xfId="55" applyNumberFormat="1" applyFont="1" applyFill="1" applyBorder="1" applyAlignment="1">
      <alignment horizontal="center" vertical="center" wrapText="1"/>
      <protection/>
    </xf>
    <xf numFmtId="170" fontId="9" fillId="0" borderId="11" xfId="0" applyNumberFormat="1" applyFont="1" applyFill="1" applyBorder="1" applyAlignment="1">
      <alignment horizontal="center" vertical="center"/>
    </xf>
    <xf numFmtId="170" fontId="9" fillId="0" borderId="11" xfId="0" applyNumberFormat="1" applyFont="1" applyFill="1" applyBorder="1" applyAlignment="1">
      <alignment horizontal="left" vertical="center" wrapText="1"/>
    </xf>
    <xf numFmtId="170" fontId="9" fillId="0" borderId="11" xfId="0" applyNumberFormat="1" applyFont="1" applyFill="1" applyBorder="1" applyAlignment="1">
      <alignment horizontal="center"/>
    </xf>
    <xf numFmtId="170" fontId="9" fillId="0" borderId="11" xfId="0" applyNumberFormat="1" applyFont="1" applyFill="1" applyBorder="1" applyAlignment="1">
      <alignment horizontal="left" vertical="center"/>
    </xf>
    <xf numFmtId="170" fontId="2" fillId="0" borderId="11" xfId="0" applyNumberFormat="1" applyFont="1" applyFill="1" applyBorder="1" applyAlignment="1">
      <alignment horizontal="left"/>
    </xf>
    <xf numFmtId="170" fontId="9" fillId="0" borderId="11" xfId="0" applyNumberFormat="1" applyFont="1" applyFill="1" applyBorder="1" applyAlignment="1">
      <alignment horizontal="left"/>
    </xf>
    <xf numFmtId="170" fontId="78" fillId="0" borderId="20" xfId="0" applyNumberFormat="1" applyFont="1" applyFill="1" applyBorder="1" applyAlignment="1">
      <alignment horizontal="center" vertical="center"/>
    </xf>
    <xf numFmtId="170" fontId="78" fillId="0" borderId="20" xfId="0" applyNumberFormat="1" applyFont="1" applyFill="1" applyBorder="1" applyAlignment="1">
      <alignment horizontal="left" vertical="center" wrapText="1"/>
    </xf>
    <xf numFmtId="170" fontId="78" fillId="0" borderId="20" xfId="0" applyNumberFormat="1" applyFont="1" applyFill="1" applyBorder="1" applyAlignment="1">
      <alignment horizontal="center"/>
    </xf>
    <xf numFmtId="4" fontId="9" fillId="0" borderId="20" xfId="0" applyNumberFormat="1" applyFont="1" applyFill="1" applyBorder="1" applyAlignment="1">
      <alignment horizontal="right"/>
    </xf>
    <xf numFmtId="170" fontId="9" fillId="0" borderId="20" xfId="0" applyNumberFormat="1" applyFont="1" applyFill="1" applyBorder="1" applyAlignment="1">
      <alignment/>
    </xf>
    <xf numFmtId="0" fontId="9"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xf>
    <xf numFmtId="0" fontId="9" fillId="0" borderId="20" xfId="0" applyFont="1" applyFill="1" applyBorder="1" applyAlignment="1">
      <alignment horizontal="center" vertical="center"/>
    </xf>
    <xf numFmtId="4" fontId="78" fillId="0" borderId="20" xfId="0" applyNumberFormat="1" applyFont="1" applyFill="1" applyBorder="1" applyAlignment="1">
      <alignment horizontal="left" vertical="center" wrapText="1"/>
    </xf>
    <xf numFmtId="0" fontId="9" fillId="0" borderId="20" xfId="0" applyFont="1" applyFill="1" applyBorder="1" applyAlignment="1">
      <alignment horizontal="center"/>
    </xf>
    <xf numFmtId="4" fontId="81" fillId="0"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 fontId="9" fillId="33" borderId="11" xfId="0" applyNumberFormat="1" applyFont="1" applyFill="1" applyBorder="1" applyAlignment="1">
      <alignment horizontal="left" vertical="center" wrapText="1"/>
    </xf>
    <xf numFmtId="175" fontId="9" fillId="0" borderId="11" xfId="0" applyNumberFormat="1" applyFont="1" applyFill="1" applyBorder="1" applyAlignment="1">
      <alignment horizontal="right"/>
    </xf>
    <xf numFmtId="4" fontId="81" fillId="0" borderId="11" xfId="0" applyNumberFormat="1" applyFont="1" applyFill="1" applyBorder="1" applyAlignment="1">
      <alignment vertical="center"/>
    </xf>
    <xf numFmtId="0" fontId="15" fillId="0" borderId="11" xfId="0" applyFont="1" applyFill="1" applyBorder="1" applyAlignment="1">
      <alignment horizontal="center" vertical="center" wrapText="1"/>
    </xf>
    <xf numFmtId="4" fontId="9" fillId="0" borderId="11" xfId="0" applyNumberFormat="1" applyFont="1" applyFill="1" applyBorder="1" applyAlignment="1">
      <alignment horizontal="left" vertical="center" wrapText="1"/>
    </xf>
    <xf numFmtId="175" fontId="81" fillId="34" borderId="11" xfId="55" applyNumberFormat="1" applyFont="1" applyFill="1" applyBorder="1" applyAlignment="1">
      <alignment horizontal="center" vertical="center" wrapText="1"/>
      <protection/>
    </xf>
    <xf numFmtId="4" fontId="2" fillId="34" borderId="11" xfId="0" applyNumberFormat="1" applyFont="1" applyFill="1" applyBorder="1" applyAlignment="1">
      <alignment horizontal="center" vertical="center" wrapText="1"/>
    </xf>
    <xf numFmtId="4" fontId="81" fillId="0" borderId="11" xfId="0" applyNumberFormat="1" applyFont="1" applyFill="1" applyBorder="1" applyAlignment="1">
      <alignment horizontal="center" vertical="center"/>
    </xf>
    <xf numFmtId="0" fontId="2" fillId="0" borderId="11" xfId="0" applyFont="1" applyFill="1" applyBorder="1" applyAlignment="1">
      <alignment/>
    </xf>
    <xf numFmtId="0" fontId="2" fillId="0" borderId="11" xfId="0" applyFont="1" applyFill="1" applyBorder="1" applyAlignment="1">
      <alignment horizontal="center"/>
    </xf>
    <xf numFmtId="49" fontId="81" fillId="0" borderId="11" xfId="55" applyNumberFormat="1" applyFont="1" applyFill="1" applyBorder="1" applyAlignment="1">
      <alignment vertical="top"/>
      <protection/>
    </xf>
    <xf numFmtId="4" fontId="2" fillId="0" borderId="11" xfId="55" applyNumberFormat="1" applyFont="1" applyFill="1" applyBorder="1" applyAlignment="1">
      <alignment horizontal="right"/>
      <protection/>
    </xf>
    <xf numFmtId="0" fontId="2" fillId="0" borderId="11" xfId="54" applyFont="1" applyFill="1" applyBorder="1" applyAlignment="1">
      <alignment horizontal="center"/>
      <protection/>
    </xf>
    <xf numFmtId="4" fontId="2" fillId="0" borderId="11" xfId="55" applyNumberFormat="1" applyFont="1" applyFill="1" applyBorder="1" applyAlignment="1">
      <alignment/>
      <protection/>
    </xf>
    <xf numFmtId="175" fontId="2" fillId="0" borderId="11" xfId="55" applyNumberFormat="1" applyFont="1" applyFill="1" applyBorder="1" applyAlignment="1">
      <alignment/>
      <protection/>
    </xf>
    <xf numFmtId="4" fontId="81" fillId="0" borderId="0" xfId="54" applyNumberFormat="1" applyFont="1" applyFill="1">
      <alignment/>
      <protection/>
    </xf>
    <xf numFmtId="4" fontId="9" fillId="33" borderId="11" xfId="0" applyNumberFormat="1" applyFont="1" applyFill="1" applyBorder="1" applyAlignment="1">
      <alignment/>
    </xf>
    <xf numFmtId="4" fontId="9" fillId="33" borderId="11" xfId="0" applyNumberFormat="1" applyFont="1" applyFill="1" applyBorder="1" applyAlignment="1">
      <alignment/>
    </xf>
    <xf numFmtId="4" fontId="9" fillId="0" borderId="0" xfId="51" applyNumberFormat="1" applyFont="1">
      <alignment/>
      <protection/>
    </xf>
    <xf numFmtId="4" fontId="0" fillId="0" borderId="0" xfId="0" applyNumberFormat="1" applyAlignment="1">
      <alignment/>
    </xf>
    <xf numFmtId="0" fontId="84" fillId="0" borderId="20" xfId="0" applyFont="1" applyBorder="1" applyAlignment="1">
      <alignment horizontal="center" vertical="center"/>
    </xf>
    <xf numFmtId="0" fontId="84" fillId="0" borderId="11" xfId="0" applyFont="1" applyBorder="1" applyAlignment="1">
      <alignment horizontal="center" vertical="center"/>
    </xf>
    <xf numFmtId="0" fontId="84" fillId="0" borderId="22" xfId="0" applyFont="1" applyBorder="1" applyAlignment="1">
      <alignment horizontal="center" vertical="center"/>
    </xf>
    <xf numFmtId="0" fontId="84" fillId="0" borderId="11" xfId="0" applyFont="1" applyBorder="1" applyAlignment="1">
      <alignment horizontal="center"/>
    </xf>
    <xf numFmtId="0" fontId="15" fillId="0" borderId="11" xfId="0" applyFont="1" applyBorder="1" applyAlignment="1">
      <alignment horizontal="center"/>
    </xf>
    <xf numFmtId="0" fontId="15" fillId="35" borderId="20" xfId="0" applyFont="1" applyFill="1" applyBorder="1" applyAlignment="1">
      <alignment/>
    </xf>
    <xf numFmtId="10" fontId="15" fillId="0" borderId="20" xfId="0" applyNumberFormat="1" applyFont="1" applyBorder="1" applyAlignment="1">
      <alignment/>
    </xf>
    <xf numFmtId="0" fontId="15" fillId="0" borderId="20" xfId="0" applyFont="1" applyBorder="1" applyAlignment="1">
      <alignment/>
    </xf>
    <xf numFmtId="44" fontId="15" fillId="0" borderId="22" xfId="0" applyNumberFormat="1" applyFont="1" applyBorder="1" applyAlignment="1">
      <alignment/>
    </xf>
    <xf numFmtId="10" fontId="15" fillId="35" borderId="22" xfId="0" applyNumberFormat="1" applyFont="1" applyFill="1" applyBorder="1" applyAlignment="1">
      <alignment/>
    </xf>
    <xf numFmtId="44" fontId="15" fillId="35" borderId="22" xfId="0" applyNumberFormat="1" applyFont="1" applyFill="1" applyBorder="1" applyAlignment="1">
      <alignment/>
    </xf>
    <xf numFmtId="10" fontId="15" fillId="35" borderId="20" xfId="0" applyNumberFormat="1" applyFont="1" applyFill="1" applyBorder="1" applyAlignment="1">
      <alignment/>
    </xf>
    <xf numFmtId="10" fontId="84" fillId="0" borderId="11" xfId="0" applyNumberFormat="1" applyFont="1" applyBorder="1" applyAlignment="1">
      <alignment horizontal="center" vertical="center"/>
    </xf>
    <xf numFmtId="44" fontId="84" fillId="0" borderId="22" xfId="0" applyNumberFormat="1" applyFont="1" applyBorder="1" applyAlignment="1">
      <alignment horizontal="center" vertical="center"/>
    </xf>
    <xf numFmtId="0" fontId="15" fillId="0" borderId="0" xfId="0" applyFont="1" applyAlignment="1">
      <alignment/>
    </xf>
    <xf numFmtId="44" fontId="15" fillId="0" borderId="20" xfId="0" applyNumberFormat="1" applyFont="1" applyBorder="1" applyAlignment="1">
      <alignment/>
    </xf>
    <xf numFmtId="0" fontId="15" fillId="0" borderId="22" xfId="0" applyFont="1" applyBorder="1" applyAlignment="1">
      <alignment/>
    </xf>
    <xf numFmtId="0" fontId="15" fillId="0" borderId="10" xfId="0" applyFont="1" applyBorder="1" applyAlignment="1">
      <alignment horizontal="left" vertical="center" wrapText="1"/>
    </xf>
    <xf numFmtId="49" fontId="78" fillId="0" borderId="11" xfId="51" applyNumberFormat="1" applyFont="1" applyFill="1" applyBorder="1" applyAlignment="1">
      <alignment horizontal="center" vertical="center"/>
      <protection/>
    </xf>
    <xf numFmtId="49" fontId="9" fillId="0" borderId="11" xfId="0" applyNumberFormat="1" applyFont="1" applyBorder="1" applyAlignment="1">
      <alignment horizontal="center" vertical="center"/>
    </xf>
    <xf numFmtId="0" fontId="15" fillId="0" borderId="0" xfId="0" applyFont="1" applyBorder="1" applyAlignment="1">
      <alignment horizontal="left" vertical="center" wrapText="1"/>
    </xf>
    <xf numFmtId="0" fontId="9" fillId="0" borderId="16" xfId="0" applyFont="1" applyBorder="1" applyAlignment="1">
      <alignment horizontal="left" vertical="center"/>
    </xf>
    <xf numFmtId="49" fontId="9" fillId="0" borderId="16" xfId="0" applyNumberFormat="1" applyFont="1" applyBorder="1" applyAlignment="1">
      <alignment horizontal="center" vertical="center"/>
    </xf>
    <xf numFmtId="49" fontId="9" fillId="0" borderId="18" xfId="0" applyNumberFormat="1" applyFont="1" applyBorder="1" applyAlignment="1">
      <alignment horizontal="center" vertical="center"/>
    </xf>
    <xf numFmtId="4" fontId="2" fillId="0" borderId="19" xfId="0" applyNumberFormat="1" applyFont="1" applyFill="1" applyBorder="1" applyAlignment="1">
      <alignment/>
    </xf>
    <xf numFmtId="4" fontId="9" fillId="0" borderId="18" xfId="0" applyNumberFormat="1" applyFont="1" applyFill="1" applyBorder="1" applyAlignment="1">
      <alignment horizontal="center" vertical="center"/>
    </xf>
    <xf numFmtId="49" fontId="75" fillId="0" borderId="12" xfId="53" applyNumberFormat="1" applyFont="1" applyFill="1" applyBorder="1" applyAlignment="1">
      <alignment horizontal="justify" vertical="center" wrapText="1"/>
      <protection/>
    </xf>
    <xf numFmtId="49" fontId="75" fillId="0" borderId="13" xfId="51" applyNumberFormat="1" applyFont="1" applyFill="1" applyBorder="1" applyAlignment="1">
      <alignment horizontal="justify" vertical="center" wrapText="1" readingOrder="1"/>
      <protection/>
    </xf>
    <xf numFmtId="0" fontId="4" fillId="0" borderId="0" xfId="0" applyFont="1" applyFill="1" applyAlignment="1">
      <alignment horizontal="justify" vertical="center" wrapText="1"/>
    </xf>
    <xf numFmtId="4" fontId="75" fillId="0" borderId="0"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170" fontId="77" fillId="0" borderId="0" xfId="51" applyNumberFormat="1" applyFont="1" applyFill="1" applyBorder="1" applyAlignment="1">
      <alignment horizontal="justify" vertical="center" wrapText="1"/>
      <protection/>
    </xf>
    <xf numFmtId="4" fontId="75" fillId="33" borderId="0" xfId="0" applyNumberFormat="1" applyFont="1" applyFill="1" applyBorder="1" applyAlignment="1">
      <alignment horizontal="justify" vertical="center" wrapText="1"/>
    </xf>
    <xf numFmtId="170" fontId="77" fillId="0" borderId="0" xfId="51" applyNumberFormat="1" applyFont="1" applyFill="1" applyAlignment="1">
      <alignment horizontal="justify" vertical="center" wrapText="1"/>
      <protection/>
    </xf>
    <xf numFmtId="4" fontId="85" fillId="0" borderId="0" xfId="0" applyNumberFormat="1" applyFont="1" applyFill="1" applyBorder="1" applyAlignment="1">
      <alignment horizontal="justify" vertical="center" wrapText="1"/>
    </xf>
    <xf numFmtId="0" fontId="0" fillId="0" borderId="0" xfId="0" applyAlignment="1">
      <alignment horizontal="justify" vertical="center" wrapText="1"/>
    </xf>
    <xf numFmtId="0" fontId="74" fillId="0" borderId="0" xfId="0" applyFont="1" applyAlignment="1">
      <alignment horizontal="justify" vertical="center" wrapText="1"/>
    </xf>
    <xf numFmtId="0" fontId="0" fillId="0" borderId="0" xfId="0" applyBorder="1" applyAlignment="1">
      <alignment horizontal="justify" vertical="center" wrapText="1"/>
    </xf>
    <xf numFmtId="0" fontId="6" fillId="0" borderId="0" xfId="0" applyFont="1" applyFill="1" applyAlignment="1">
      <alignment horizontal="justify" vertical="center" wrapText="1"/>
    </xf>
    <xf numFmtId="0" fontId="4" fillId="33" borderId="0" xfId="0" applyFont="1" applyFill="1" applyBorder="1" applyAlignment="1">
      <alignment horizontal="justify" vertical="center" wrapText="1"/>
    </xf>
    <xf numFmtId="49" fontId="86" fillId="33" borderId="0" xfId="55" applyNumberFormat="1" applyFont="1" applyFill="1" applyBorder="1" applyAlignment="1">
      <alignment horizontal="center" vertical="center"/>
      <protection/>
    </xf>
    <xf numFmtId="0" fontId="83" fillId="33" borderId="0" xfId="0" applyFont="1" applyFill="1" applyAlignment="1">
      <alignment horizontal="justify" vertical="center" wrapText="1"/>
    </xf>
    <xf numFmtId="4" fontId="75" fillId="33" borderId="0" xfId="55" applyNumberFormat="1" applyFont="1" applyFill="1" applyBorder="1" applyAlignment="1">
      <alignment horizontal="center" vertical="center"/>
      <protection/>
    </xf>
    <xf numFmtId="49" fontId="81" fillId="33" borderId="0" xfId="55" applyNumberFormat="1" applyFont="1" applyFill="1" applyBorder="1" applyAlignment="1">
      <alignment horizontal="center" vertical="center" wrapText="1"/>
      <protection/>
    </xf>
    <xf numFmtId="49" fontId="78" fillId="0" borderId="0" xfId="55" applyNumberFormat="1" applyFont="1" applyFill="1" applyBorder="1" applyAlignment="1">
      <alignment horizontal="center" vertical="center"/>
      <protection/>
    </xf>
    <xf numFmtId="49" fontId="76" fillId="0" borderId="11" xfId="55" applyNumberFormat="1" applyFont="1" applyFill="1" applyBorder="1" applyAlignment="1">
      <alignment horizontal="center" vertical="center"/>
      <protection/>
    </xf>
    <xf numFmtId="4" fontId="75" fillId="0" borderId="11" xfId="0" applyNumberFormat="1" applyFont="1" applyFill="1" applyBorder="1" applyAlignment="1">
      <alignment horizontal="justify" vertical="center" wrapText="1"/>
    </xf>
    <xf numFmtId="49" fontId="76" fillId="35" borderId="11" xfId="55" applyNumberFormat="1" applyFont="1" applyFill="1" applyBorder="1" applyAlignment="1">
      <alignment horizontal="center" vertical="center"/>
      <protection/>
    </xf>
    <xf numFmtId="49" fontId="78" fillId="35" borderId="11" xfId="55" applyNumberFormat="1" applyFont="1" applyFill="1" applyBorder="1" applyAlignment="1">
      <alignment horizontal="center" vertical="center"/>
      <protection/>
    </xf>
    <xf numFmtId="4" fontId="75" fillId="35" borderId="11" xfId="0" applyNumberFormat="1" applyFont="1" applyFill="1" applyBorder="1" applyAlignment="1">
      <alignment horizontal="justify" vertical="center" wrapText="1"/>
    </xf>
    <xf numFmtId="0" fontId="4" fillId="35" borderId="11" xfId="0" applyFont="1" applyFill="1" applyBorder="1" applyAlignment="1">
      <alignment/>
    </xf>
    <xf numFmtId="0" fontId="4" fillId="35" borderId="0" xfId="0" applyFont="1" applyFill="1" applyBorder="1" applyAlignment="1">
      <alignment/>
    </xf>
    <xf numFmtId="0" fontId="10" fillId="35" borderId="11" xfId="0" applyFont="1" applyFill="1" applyBorder="1" applyAlignment="1">
      <alignment horizontal="center" vertical="center"/>
    </xf>
    <xf numFmtId="0" fontId="6" fillId="35" borderId="11" xfId="0" applyFont="1" applyFill="1" applyBorder="1" applyAlignment="1">
      <alignment horizontal="justify" vertical="center" wrapText="1"/>
    </xf>
    <xf numFmtId="49" fontId="76" fillId="35" borderId="0" xfId="55" applyNumberFormat="1" applyFont="1" applyFill="1" applyBorder="1" applyAlignment="1">
      <alignment horizontal="center" vertical="center"/>
      <protection/>
    </xf>
    <xf numFmtId="49" fontId="78" fillId="35" borderId="0" xfId="55" applyNumberFormat="1" applyFont="1" applyFill="1" applyBorder="1" applyAlignment="1">
      <alignment horizontal="center" vertical="center"/>
      <protection/>
    </xf>
    <xf numFmtId="0" fontId="4" fillId="0" borderId="11" xfId="0" applyFont="1" applyFill="1" applyBorder="1" applyAlignment="1">
      <alignment/>
    </xf>
    <xf numFmtId="49" fontId="76" fillId="33" borderId="11" xfId="55" applyNumberFormat="1" applyFont="1" applyFill="1" applyBorder="1" applyAlignment="1">
      <alignment horizontal="center" vertical="center"/>
      <protection/>
    </xf>
    <xf numFmtId="4" fontId="75" fillId="33" borderId="11" xfId="0" applyNumberFormat="1" applyFont="1" applyFill="1" applyBorder="1" applyAlignment="1">
      <alignment horizontal="justify" vertical="center" wrapText="1"/>
    </xf>
    <xf numFmtId="0" fontId="4" fillId="33" borderId="11" xfId="0" applyFont="1" applyFill="1" applyBorder="1" applyAlignment="1">
      <alignment/>
    </xf>
    <xf numFmtId="0" fontId="4" fillId="35" borderId="11" xfId="0" applyFont="1" applyFill="1" applyBorder="1" applyAlignment="1">
      <alignment/>
    </xf>
    <xf numFmtId="0" fontId="9" fillId="33" borderId="0" xfId="0" applyFont="1" applyFill="1" applyBorder="1" applyAlignment="1">
      <alignment horizontal="center" vertical="center" wrapText="1"/>
    </xf>
    <xf numFmtId="0" fontId="4" fillId="33" borderId="0" xfId="0" applyFont="1" applyFill="1" applyAlignment="1">
      <alignment horizontal="justify" vertical="center" wrapText="1"/>
    </xf>
    <xf numFmtId="0" fontId="10" fillId="33" borderId="11" xfId="0" applyFont="1" applyFill="1" applyBorder="1" applyAlignment="1">
      <alignment horizontal="center" vertical="center"/>
    </xf>
    <xf numFmtId="0" fontId="4" fillId="33" borderId="11" xfId="0" applyFont="1" applyFill="1" applyBorder="1" applyAlignment="1">
      <alignment horizontal="justify" vertical="center" wrapText="1"/>
    </xf>
    <xf numFmtId="0" fontId="4" fillId="33" borderId="11" xfId="0" applyFont="1" applyFill="1" applyBorder="1" applyAlignment="1">
      <alignment/>
    </xf>
    <xf numFmtId="170" fontId="77" fillId="0" borderId="11" xfId="51" applyNumberFormat="1" applyFont="1" applyFill="1" applyBorder="1">
      <alignment/>
      <protection/>
    </xf>
    <xf numFmtId="3" fontId="4" fillId="0" borderId="11" xfId="51" applyNumberFormat="1" applyFont="1" applyFill="1" applyBorder="1" applyAlignment="1">
      <alignment horizontal="center" vertical="center" wrapText="1"/>
      <protection/>
    </xf>
    <xf numFmtId="170" fontId="4" fillId="0" borderId="11" xfId="51" applyNumberFormat="1" applyFont="1" applyFill="1" applyBorder="1" applyAlignment="1">
      <alignment horizontal="right" wrapText="1"/>
      <protection/>
    </xf>
    <xf numFmtId="170" fontId="77" fillId="0" borderId="11" xfId="51" applyNumberFormat="1" applyFont="1" applyFill="1" applyBorder="1" applyAlignment="1">
      <alignment horizontal="justify" vertical="center" wrapText="1"/>
      <protection/>
    </xf>
    <xf numFmtId="49" fontId="76" fillId="35" borderId="11" xfId="51" applyNumberFormat="1" applyFont="1" applyFill="1" applyBorder="1" applyAlignment="1">
      <alignment horizontal="center"/>
      <protection/>
    </xf>
    <xf numFmtId="170" fontId="75" fillId="35" borderId="11" xfId="51" applyNumberFormat="1" applyFont="1" applyFill="1" applyBorder="1" applyAlignment="1">
      <alignment horizontal="justify" vertical="center" wrapText="1"/>
      <protection/>
    </xf>
    <xf numFmtId="170" fontId="77" fillId="35" borderId="11" xfId="51" applyNumberFormat="1" applyFont="1" applyFill="1" applyBorder="1">
      <alignment/>
      <protection/>
    </xf>
    <xf numFmtId="3" fontId="4" fillId="35" borderId="11" xfId="51" applyNumberFormat="1" applyFont="1" applyFill="1" applyBorder="1" applyAlignment="1">
      <alignment horizontal="center" vertical="center" wrapText="1"/>
      <protection/>
    </xf>
    <xf numFmtId="170" fontId="4" fillId="35" borderId="11" xfId="51" applyNumberFormat="1" applyFont="1" applyFill="1" applyBorder="1" applyAlignment="1">
      <alignment horizontal="right" wrapText="1"/>
      <protection/>
    </xf>
    <xf numFmtId="170" fontId="4" fillId="0" borderId="11" xfId="51" applyNumberFormat="1" applyFont="1" applyFill="1" applyBorder="1" applyAlignment="1">
      <alignment horizontal="center" vertical="center" wrapText="1"/>
      <protection/>
    </xf>
    <xf numFmtId="170" fontId="77" fillId="33" borderId="0" xfId="51" applyNumberFormat="1" applyFont="1" applyFill="1" applyBorder="1" applyAlignment="1">
      <alignment horizontal="justify" vertical="center" wrapText="1"/>
      <protection/>
    </xf>
    <xf numFmtId="170" fontId="4" fillId="33" borderId="11" xfId="51" applyNumberFormat="1" applyFont="1" applyFill="1" applyBorder="1" applyAlignment="1">
      <alignment horizontal="justify" vertical="center" wrapText="1"/>
      <protection/>
    </xf>
    <xf numFmtId="170" fontId="77" fillId="33" borderId="11" xfId="51" applyNumberFormat="1" applyFont="1" applyFill="1" applyBorder="1" applyAlignment="1">
      <alignment horizontal="justify" vertical="center" wrapText="1"/>
      <protection/>
    </xf>
    <xf numFmtId="170" fontId="77" fillId="33" borderId="0" xfId="51" applyNumberFormat="1" applyFont="1" applyFill="1" applyAlignment="1">
      <alignment horizontal="justify" vertical="center" wrapText="1"/>
      <protection/>
    </xf>
    <xf numFmtId="170" fontId="4" fillId="0" borderId="0" xfId="51" applyNumberFormat="1" applyFont="1" applyFill="1" applyBorder="1">
      <alignment/>
      <protection/>
    </xf>
    <xf numFmtId="4" fontId="4" fillId="0" borderId="0" xfId="51" applyNumberFormat="1" applyFont="1" applyFill="1" applyBorder="1" applyAlignment="1">
      <alignment horizontal="center" vertical="center" wrapText="1"/>
      <protection/>
    </xf>
    <xf numFmtId="170" fontId="4" fillId="33" borderId="11" xfId="51" applyNumberFormat="1" applyFont="1" applyFill="1" applyBorder="1">
      <alignment/>
      <protection/>
    </xf>
    <xf numFmtId="4" fontId="4" fillId="33" borderId="11" xfId="51" applyNumberFormat="1" applyFont="1" applyFill="1" applyBorder="1" applyAlignment="1">
      <alignment horizontal="center" vertical="center" wrapText="1"/>
      <protection/>
    </xf>
    <xf numFmtId="170" fontId="4" fillId="33" borderId="11" xfId="51" applyNumberFormat="1" applyFont="1" applyFill="1" applyBorder="1" applyAlignment="1">
      <alignment horizontal="right" wrapText="1"/>
      <protection/>
    </xf>
    <xf numFmtId="170" fontId="4" fillId="0" borderId="0" xfId="51" applyNumberFormat="1" applyFont="1" applyFill="1" applyBorder="1" applyAlignment="1">
      <alignment horizontal="justify" vertical="center" wrapText="1"/>
      <protection/>
    </xf>
    <xf numFmtId="4" fontId="77"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49" fontId="87" fillId="35" borderId="11" xfId="51" applyNumberFormat="1" applyFont="1" applyFill="1" applyBorder="1" applyAlignment="1">
      <alignment horizontal="center"/>
      <protection/>
    </xf>
    <xf numFmtId="170" fontId="87" fillId="35" borderId="11" xfId="51" applyNumberFormat="1" applyFont="1" applyFill="1" applyBorder="1" applyAlignment="1">
      <alignment horizontal="justify" vertical="center" wrapText="1"/>
      <protection/>
    </xf>
    <xf numFmtId="170" fontId="88" fillId="35" borderId="11" xfId="51" applyNumberFormat="1" applyFont="1" applyFill="1" applyBorder="1">
      <alignment/>
      <protection/>
    </xf>
    <xf numFmtId="3" fontId="16" fillId="35" borderId="11" xfId="51" applyNumberFormat="1" applyFont="1" applyFill="1" applyBorder="1" applyAlignment="1">
      <alignment horizontal="center" vertical="center" wrapText="1"/>
      <protection/>
    </xf>
    <xf numFmtId="170" fontId="16" fillId="35" borderId="11" xfId="51" applyNumberFormat="1" applyFont="1" applyFill="1" applyBorder="1" applyAlignment="1">
      <alignment horizontal="right" wrapText="1"/>
      <protection/>
    </xf>
    <xf numFmtId="0" fontId="4" fillId="33" borderId="17" xfId="0" applyFont="1" applyFill="1" applyBorder="1" applyAlignment="1">
      <alignment/>
    </xf>
    <xf numFmtId="170" fontId="85" fillId="33" borderId="0" xfId="51" applyNumberFormat="1" applyFont="1" applyFill="1" applyAlignment="1">
      <alignment horizontal="justify" vertical="center" wrapText="1"/>
      <protection/>
    </xf>
    <xf numFmtId="0" fontId="7" fillId="33" borderId="0" xfId="0" applyFont="1" applyFill="1" applyAlignment="1">
      <alignment/>
    </xf>
    <xf numFmtId="0" fontId="10"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170" fontId="77" fillId="0" borderId="20" xfId="51" applyNumberFormat="1" applyFont="1" applyFill="1" applyBorder="1" applyAlignment="1">
      <alignment horizontal="justify" vertical="center" wrapText="1"/>
      <protection/>
    </xf>
    <xf numFmtId="0" fontId="4" fillId="0" borderId="20" xfId="0" applyFont="1" applyFill="1" applyBorder="1" applyAlignment="1">
      <alignment/>
    </xf>
    <xf numFmtId="170" fontId="85" fillId="33" borderId="0" xfId="51" applyNumberFormat="1" applyFont="1" applyFill="1" applyBorder="1" applyAlignment="1">
      <alignment horizontal="justify" vertical="center" wrapText="1"/>
      <protection/>
    </xf>
    <xf numFmtId="0" fontId="7" fillId="33" borderId="0" xfId="0" applyFont="1" applyFill="1" applyBorder="1" applyAlignment="1">
      <alignment/>
    </xf>
    <xf numFmtId="0" fontId="10" fillId="33" borderId="12" xfId="0" applyFont="1" applyFill="1" applyBorder="1" applyAlignment="1">
      <alignment horizontal="center" vertical="center"/>
    </xf>
    <xf numFmtId="170" fontId="77" fillId="33" borderId="10" xfId="51" applyNumberFormat="1" applyFont="1" applyFill="1" applyBorder="1" applyAlignment="1">
      <alignment horizontal="justify" vertical="center" wrapText="1"/>
      <protection/>
    </xf>
    <xf numFmtId="0" fontId="4" fillId="33" borderId="10" xfId="0" applyFont="1" applyFill="1" applyBorder="1" applyAlignment="1">
      <alignment/>
    </xf>
    <xf numFmtId="0" fontId="4" fillId="33" borderId="14" xfId="0" applyFont="1" applyFill="1" applyBorder="1" applyAlignment="1">
      <alignment/>
    </xf>
    <xf numFmtId="0" fontId="10" fillId="33" borderId="13" xfId="0" applyFont="1" applyFill="1" applyBorder="1" applyAlignment="1">
      <alignment horizontal="center" vertical="center"/>
    </xf>
    <xf numFmtId="0" fontId="7" fillId="33" borderId="15" xfId="0" applyFont="1" applyFill="1" applyBorder="1" applyAlignment="1">
      <alignment/>
    </xf>
    <xf numFmtId="0" fontId="4" fillId="33" borderId="15" xfId="0" applyFont="1" applyFill="1" applyBorder="1" applyAlignment="1">
      <alignment/>
    </xf>
    <xf numFmtId="0" fontId="77" fillId="35" borderId="0" xfId="0" applyFont="1" applyFill="1" applyBorder="1" applyAlignment="1">
      <alignment horizontal="right" vertical="center" wrapText="1"/>
    </xf>
    <xf numFmtId="0" fontId="77" fillId="35" borderId="11" xfId="0" applyFont="1" applyFill="1" applyBorder="1" applyAlignment="1">
      <alignment horizontal="right" vertical="center" wrapText="1"/>
    </xf>
    <xf numFmtId="0" fontId="0" fillId="0" borderId="11" xfId="0" applyBorder="1" applyAlignment="1">
      <alignment horizontal="justify" vertical="center" wrapText="1"/>
    </xf>
    <xf numFmtId="0" fontId="0" fillId="0" borderId="11" xfId="0" applyBorder="1" applyAlignment="1">
      <alignment/>
    </xf>
    <xf numFmtId="0" fontId="56" fillId="0" borderId="0" xfId="0" applyFont="1" applyAlignment="1">
      <alignment horizontal="justify" vertical="center" wrapText="1"/>
    </xf>
    <xf numFmtId="0" fontId="56" fillId="0" borderId="11" xfId="0" applyFont="1" applyBorder="1" applyAlignment="1">
      <alignment horizontal="justify" vertical="center" wrapText="1"/>
    </xf>
    <xf numFmtId="0" fontId="0" fillId="0" borderId="11" xfId="0" applyFont="1" applyBorder="1" applyAlignment="1">
      <alignment/>
    </xf>
    <xf numFmtId="0" fontId="56" fillId="33" borderId="11" xfId="0" applyFont="1" applyFill="1" applyBorder="1" applyAlignment="1">
      <alignment horizontal="justify" vertical="center" wrapText="1"/>
    </xf>
    <xf numFmtId="0" fontId="0" fillId="33" borderId="11" xfId="0" applyFont="1" applyFill="1" applyBorder="1" applyAlignment="1">
      <alignment/>
    </xf>
    <xf numFmtId="0" fontId="0" fillId="33" borderId="11" xfId="0" applyFill="1" applyBorder="1" applyAlignment="1">
      <alignment/>
    </xf>
    <xf numFmtId="170" fontId="4" fillId="35" borderId="11" xfId="0" applyNumberFormat="1" applyFont="1" applyFill="1" applyBorder="1" applyAlignment="1">
      <alignment/>
    </xf>
    <xf numFmtId="0" fontId="7" fillId="33" borderId="0" xfId="0" applyFont="1" applyFill="1" applyAlignment="1">
      <alignment horizontal="justify" vertical="center" wrapText="1"/>
    </xf>
    <xf numFmtId="4" fontId="77" fillId="33" borderId="11" xfId="0" applyNumberFormat="1" applyFont="1" applyFill="1" applyBorder="1" applyAlignment="1">
      <alignment horizontal="justify" vertical="center" wrapText="1"/>
    </xf>
    <xf numFmtId="4" fontId="77" fillId="33" borderId="0" xfId="0" applyNumberFormat="1" applyFont="1" applyFill="1" applyBorder="1" applyAlignment="1">
      <alignment horizontal="justify" vertical="center" wrapText="1"/>
    </xf>
    <xf numFmtId="4" fontId="85" fillId="33" borderId="0" xfId="0" applyNumberFormat="1" applyFont="1" applyFill="1" applyBorder="1" applyAlignment="1">
      <alignment horizontal="justify" vertical="center" wrapText="1"/>
    </xf>
    <xf numFmtId="0" fontId="9" fillId="33" borderId="0" xfId="0" applyFont="1" applyFill="1" applyAlignment="1">
      <alignment horizontal="center"/>
    </xf>
    <xf numFmtId="170" fontId="0" fillId="0" borderId="11" xfId="0" applyNumberFormat="1" applyFill="1" applyBorder="1" applyAlignment="1">
      <alignment horizontal="justify" vertical="center" wrapText="1"/>
    </xf>
    <xf numFmtId="170" fontId="0" fillId="0" borderId="11" xfId="0" applyNumberFormat="1" applyFill="1" applyBorder="1" applyAlignment="1">
      <alignment/>
    </xf>
    <xf numFmtId="0" fontId="2" fillId="35" borderId="11" xfId="0" applyFont="1" applyFill="1" applyBorder="1" applyAlignment="1">
      <alignment horizontal="center" vertical="center"/>
    </xf>
    <xf numFmtId="0" fontId="2" fillId="35" borderId="11" xfId="0" applyFont="1" applyFill="1" applyBorder="1" applyAlignment="1">
      <alignment horizontal="center"/>
    </xf>
    <xf numFmtId="0" fontId="9" fillId="33" borderId="23" xfId="0" applyFont="1" applyFill="1" applyBorder="1" applyAlignment="1">
      <alignment horizontal="center"/>
    </xf>
    <xf numFmtId="4" fontId="4" fillId="33" borderId="0" xfId="0" applyNumberFormat="1" applyFont="1" applyFill="1" applyAlignment="1">
      <alignment/>
    </xf>
    <xf numFmtId="4" fontId="4" fillId="33"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 fontId="81" fillId="0" borderId="11" xfId="55" applyNumberFormat="1" applyFont="1" applyFill="1" applyBorder="1" applyAlignment="1">
      <alignment horizontal="center" vertical="center"/>
      <protection/>
    </xf>
    <xf numFmtId="49" fontId="2" fillId="0" borderId="11" xfId="0" applyNumberFormat="1" applyFont="1" applyBorder="1" applyAlignment="1">
      <alignment horizontal="center" vertical="center"/>
    </xf>
    <xf numFmtId="0" fontId="4" fillId="33" borderId="11" xfId="0" applyFont="1" applyFill="1" applyBorder="1" applyAlignment="1">
      <alignment horizontal="left" vertical="center" wrapText="1"/>
    </xf>
    <xf numFmtId="0" fontId="10" fillId="35" borderId="0" xfId="0" applyFont="1" applyFill="1" applyBorder="1" applyAlignment="1">
      <alignment/>
    </xf>
    <xf numFmtId="0" fontId="10" fillId="35" borderId="17" xfId="0" applyFont="1" applyFill="1" applyBorder="1" applyAlignment="1">
      <alignment/>
    </xf>
    <xf numFmtId="0" fontId="10" fillId="0" borderId="19" xfId="0" applyFont="1" applyFill="1" applyBorder="1" applyAlignment="1">
      <alignment horizontal="center" vertical="center"/>
    </xf>
    <xf numFmtId="170" fontId="77" fillId="0" borderId="16" xfId="51" applyNumberFormat="1" applyFont="1" applyFill="1" applyBorder="1" applyAlignment="1">
      <alignment horizontal="justify" vertical="center" wrapText="1"/>
      <protection/>
    </xf>
    <xf numFmtId="0" fontId="4" fillId="0" borderId="16" xfId="0" applyFont="1" applyFill="1" applyBorder="1" applyAlignment="1">
      <alignment/>
    </xf>
    <xf numFmtId="0" fontId="4" fillId="0" borderId="18" xfId="0" applyFont="1" applyFill="1" applyBorder="1" applyAlignment="1">
      <alignment/>
    </xf>
    <xf numFmtId="0" fontId="18" fillId="35" borderId="24" xfId="0" applyFont="1" applyFill="1" applyBorder="1" applyAlignment="1">
      <alignment horizontal="justify" vertical="center" wrapText="1"/>
    </xf>
    <xf numFmtId="0" fontId="19" fillId="35" borderId="24" xfId="0" applyFont="1" applyFill="1" applyBorder="1" applyAlignment="1">
      <alignment/>
    </xf>
    <xf numFmtId="0" fontId="19" fillId="35" borderId="25" xfId="0" applyFont="1" applyFill="1" applyBorder="1" applyAlignment="1">
      <alignment/>
    </xf>
    <xf numFmtId="170" fontId="81" fillId="35" borderId="0" xfId="51" applyNumberFormat="1" applyFont="1" applyFill="1" applyBorder="1" applyAlignment="1">
      <alignment horizontal="justify" vertical="center" wrapText="1"/>
      <protection/>
    </xf>
    <xf numFmtId="0" fontId="2" fillId="35" borderId="0" xfId="0" applyFont="1" applyFill="1" applyBorder="1" applyAlignment="1">
      <alignment/>
    </xf>
    <xf numFmtId="4" fontId="76" fillId="35" borderId="0" xfId="0" applyNumberFormat="1" applyFont="1" applyFill="1" applyBorder="1" applyAlignment="1">
      <alignment horizontal="justify" vertical="center" wrapText="1"/>
    </xf>
    <xf numFmtId="4" fontId="10" fillId="35" borderId="0" xfId="0" applyNumberFormat="1" applyFont="1" applyFill="1" applyBorder="1" applyAlignment="1">
      <alignment/>
    </xf>
    <xf numFmtId="0" fontId="11" fillId="35" borderId="23" xfId="0" applyFont="1" applyFill="1" applyBorder="1" applyAlignment="1">
      <alignment horizontal="center"/>
    </xf>
    <xf numFmtId="0" fontId="10" fillId="0" borderId="0" xfId="0" applyFont="1" applyFill="1" applyAlignment="1">
      <alignment horizontal="justify" vertical="center" wrapText="1"/>
    </xf>
    <xf numFmtId="4" fontId="76" fillId="35" borderId="11" xfId="0" applyNumberFormat="1" applyFont="1" applyFill="1" applyBorder="1" applyAlignment="1">
      <alignment horizontal="justify" vertical="center" wrapText="1"/>
    </xf>
    <xf numFmtId="49" fontId="76" fillId="0" borderId="11" xfId="51" applyNumberFormat="1" applyFont="1" applyFill="1" applyBorder="1" applyAlignment="1">
      <alignment horizontal="center"/>
      <protection/>
    </xf>
    <xf numFmtId="49" fontId="10" fillId="33" borderId="11" xfId="51" applyNumberFormat="1" applyFont="1" applyFill="1" applyBorder="1" applyAlignment="1">
      <alignment horizontal="center"/>
      <protection/>
    </xf>
    <xf numFmtId="49" fontId="10" fillId="0" borderId="0" xfId="51" applyNumberFormat="1" applyFont="1" applyFill="1" applyBorder="1" applyAlignment="1">
      <alignment horizontal="center"/>
      <protection/>
    </xf>
    <xf numFmtId="0" fontId="2" fillId="0" borderId="0" xfId="0" applyFont="1" applyFill="1" applyAlignment="1">
      <alignment horizontal="center"/>
    </xf>
    <xf numFmtId="2" fontId="10" fillId="0" borderId="0" xfId="0" applyNumberFormat="1" applyFont="1" applyFill="1" applyAlignment="1">
      <alignment horizontal="center" vertical="center"/>
    </xf>
    <xf numFmtId="0" fontId="9" fillId="35" borderId="11" xfId="0" applyFont="1" applyFill="1" applyBorder="1" applyAlignment="1">
      <alignment horizontal="center"/>
    </xf>
    <xf numFmtId="4" fontId="77" fillId="35" borderId="11" xfId="0" applyNumberFormat="1" applyFont="1" applyFill="1" applyBorder="1" applyAlignment="1">
      <alignment horizontal="justify" vertical="center" wrapText="1"/>
    </xf>
    <xf numFmtId="2" fontId="6" fillId="35" borderId="11" xfId="0" applyNumberFormat="1" applyFont="1" applyFill="1" applyBorder="1" applyAlignment="1">
      <alignment/>
    </xf>
    <xf numFmtId="2" fontId="4" fillId="35" borderId="11" xfId="0" applyNumberFormat="1" applyFont="1" applyFill="1" applyBorder="1" applyAlignment="1">
      <alignment/>
    </xf>
    <xf numFmtId="172" fontId="4" fillId="35" borderId="11" xfId="0" applyNumberFormat="1" applyFont="1" applyFill="1" applyBorder="1" applyAlignment="1">
      <alignment/>
    </xf>
    <xf numFmtId="172" fontId="6" fillId="35" borderId="11" xfId="0" applyNumberFormat="1" applyFont="1" applyFill="1" applyBorder="1" applyAlignment="1">
      <alignment/>
    </xf>
    <xf numFmtId="0" fontId="18" fillId="0" borderId="0" xfId="0" applyFont="1" applyFill="1" applyAlignment="1">
      <alignment/>
    </xf>
    <xf numFmtId="0" fontId="19" fillId="0" borderId="0" xfId="0" applyFont="1" applyFill="1" applyAlignment="1">
      <alignment horizontal="center" vertical="center"/>
    </xf>
    <xf numFmtId="170" fontId="2" fillId="0" borderId="11" xfId="0" applyNumberFormat="1" applyFont="1" applyFill="1" applyBorder="1" applyAlignment="1">
      <alignment/>
    </xf>
    <xf numFmtId="0" fontId="10" fillId="33" borderId="20" xfId="0" applyFont="1" applyFill="1" applyBorder="1" applyAlignment="1">
      <alignment horizontal="center" vertical="center"/>
    </xf>
    <xf numFmtId="0" fontId="9" fillId="33" borderId="20" xfId="0" applyFont="1" applyFill="1" applyBorder="1" applyAlignment="1">
      <alignment horizontal="center" vertical="center" wrapText="1"/>
    </xf>
    <xf numFmtId="170" fontId="77" fillId="33" borderId="20" xfId="51" applyNumberFormat="1" applyFont="1" applyFill="1" applyBorder="1" applyAlignment="1">
      <alignment horizontal="justify" vertical="center" wrapText="1"/>
      <protection/>
    </xf>
    <xf numFmtId="0" fontId="4" fillId="33" borderId="20" xfId="0" applyFont="1" applyFill="1" applyBorder="1" applyAlignment="1">
      <alignment/>
    </xf>
    <xf numFmtId="0" fontId="10" fillId="33" borderId="19" xfId="0" applyFont="1" applyFill="1" applyBorder="1" applyAlignment="1">
      <alignment horizontal="center" vertical="center"/>
    </xf>
    <xf numFmtId="170" fontId="77" fillId="33" borderId="16" xfId="51" applyNumberFormat="1" applyFont="1" applyFill="1" applyBorder="1" applyAlignment="1">
      <alignment horizontal="justify" vertical="center" wrapText="1"/>
      <protection/>
    </xf>
    <xf numFmtId="0" fontId="4" fillId="33" borderId="16" xfId="0" applyFont="1" applyFill="1" applyBorder="1" applyAlignment="1">
      <alignment/>
    </xf>
    <xf numFmtId="0" fontId="4" fillId="33" borderId="18" xfId="0" applyFont="1" applyFill="1" applyBorder="1" applyAlignment="1">
      <alignment/>
    </xf>
    <xf numFmtId="0" fontId="10" fillId="33" borderId="21" xfId="0" applyFont="1" applyFill="1" applyBorder="1" applyAlignment="1">
      <alignment horizontal="center" vertical="center"/>
    </xf>
    <xf numFmtId="0" fontId="9" fillId="33" borderId="21" xfId="0" applyFont="1" applyFill="1" applyBorder="1" applyAlignment="1">
      <alignment horizontal="center" vertical="center" wrapText="1"/>
    </xf>
    <xf numFmtId="170" fontId="77" fillId="33" borderId="21" xfId="51" applyNumberFormat="1" applyFont="1" applyFill="1" applyBorder="1" applyAlignment="1">
      <alignment horizontal="justify" vertical="center" wrapText="1"/>
      <protection/>
    </xf>
    <xf numFmtId="0" fontId="4" fillId="33" borderId="21" xfId="0" applyFont="1" applyFill="1" applyBorder="1" applyAlignment="1">
      <alignment/>
    </xf>
    <xf numFmtId="0" fontId="9"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49" fontId="78" fillId="0" borderId="0" xfId="55" applyNumberFormat="1" applyFont="1" applyFill="1" applyBorder="1" applyAlignment="1">
      <alignment horizontal="center" vertical="center" wrapText="1"/>
      <protection/>
    </xf>
    <xf numFmtId="170" fontId="4" fillId="33" borderId="0" xfId="51" applyNumberFormat="1" applyFont="1" applyFill="1" applyBorder="1" applyAlignment="1">
      <alignment horizontal="justify" vertical="center" wrapText="1"/>
      <protection/>
    </xf>
    <xf numFmtId="4" fontId="4" fillId="0" borderId="0" xfId="0" applyNumberFormat="1" applyFont="1" applyFill="1" applyBorder="1" applyAlignment="1">
      <alignment/>
    </xf>
    <xf numFmtId="0" fontId="4" fillId="33" borderId="0" xfId="0" applyFont="1" applyFill="1" applyBorder="1" applyAlignment="1">
      <alignment horizontal="left" vertical="center" wrapText="1"/>
    </xf>
    <xf numFmtId="49" fontId="76" fillId="33" borderId="0" xfId="55" applyNumberFormat="1" applyFont="1" applyFill="1" applyBorder="1" applyAlignment="1">
      <alignment horizontal="center" vertical="center"/>
      <protection/>
    </xf>
    <xf numFmtId="0" fontId="4" fillId="36" borderId="0" xfId="0" applyFont="1" applyFill="1" applyBorder="1" applyAlignment="1">
      <alignment/>
    </xf>
    <xf numFmtId="49" fontId="89" fillId="0" borderId="0" xfId="55" applyNumberFormat="1" applyFont="1" applyFill="1" applyBorder="1" applyAlignment="1">
      <alignment horizontal="center" vertical="center"/>
      <protection/>
    </xf>
    <xf numFmtId="0" fontId="56" fillId="33" borderId="0" xfId="0" applyFont="1" applyFill="1" applyBorder="1" applyAlignment="1">
      <alignment horizontal="justify" vertical="center" wrapText="1"/>
    </xf>
    <xf numFmtId="0" fontId="0" fillId="33" borderId="0" xfId="0" applyFill="1" applyBorder="1" applyAlignment="1">
      <alignment/>
    </xf>
    <xf numFmtId="0" fontId="56" fillId="0" borderId="0" xfId="0" applyFont="1" applyBorder="1" applyAlignment="1">
      <alignment horizontal="justify" vertical="center" wrapText="1"/>
    </xf>
    <xf numFmtId="0" fontId="0" fillId="0" borderId="0" xfId="0" applyFont="1" applyBorder="1" applyAlignment="1">
      <alignment/>
    </xf>
    <xf numFmtId="0" fontId="12" fillId="0" borderId="0" xfId="0" applyFont="1" applyBorder="1" applyAlignment="1">
      <alignment/>
    </xf>
    <xf numFmtId="0" fontId="4" fillId="36" borderId="0" xfId="0" applyFont="1" applyFill="1" applyBorder="1" applyAlignment="1">
      <alignment horizontal="center" vertical="center"/>
    </xf>
    <xf numFmtId="0" fontId="9" fillId="36" borderId="0" xfId="0" applyFont="1" applyFill="1" applyAlignment="1">
      <alignment/>
    </xf>
    <xf numFmtId="0" fontId="4" fillId="36" borderId="0" xfId="0" applyFont="1" applyFill="1" applyAlignment="1">
      <alignment/>
    </xf>
    <xf numFmtId="0" fontId="6" fillId="36" borderId="0" xfId="0" applyFont="1" applyFill="1" applyAlignment="1">
      <alignment/>
    </xf>
    <xf numFmtId="0" fontId="6" fillId="36" borderId="0" xfId="0" applyFont="1" applyFill="1" applyBorder="1" applyAlignment="1">
      <alignment horizontal="center" vertical="center"/>
    </xf>
    <xf numFmtId="0" fontId="4" fillId="36" borderId="0" xfId="0" applyFont="1" applyFill="1" applyBorder="1" applyAlignment="1">
      <alignment horizontal="center"/>
    </xf>
    <xf numFmtId="0" fontId="2" fillId="33" borderId="0" xfId="0" applyFont="1" applyFill="1" applyBorder="1" applyAlignment="1">
      <alignment horizontal="center" vertical="center"/>
    </xf>
    <xf numFmtId="170" fontId="0" fillId="0" borderId="0" xfId="0" applyNumberFormat="1" applyFill="1" applyBorder="1" applyAlignment="1">
      <alignment horizontal="justify" vertical="center" wrapText="1"/>
    </xf>
    <xf numFmtId="170" fontId="0" fillId="0" borderId="0" xfId="0" applyNumberFormat="1" applyFill="1" applyBorder="1" applyAlignment="1">
      <alignment/>
    </xf>
    <xf numFmtId="170" fontId="78" fillId="33" borderId="11" xfId="0" applyNumberFormat="1" applyFont="1" applyFill="1" applyBorder="1" applyAlignment="1">
      <alignment horizontal="center" vertical="center"/>
    </xf>
    <xf numFmtId="170" fontId="78" fillId="33" borderId="11" xfId="0" applyNumberFormat="1" applyFont="1" applyFill="1" applyBorder="1" applyAlignment="1">
      <alignment horizontal="justify" vertical="center" wrapText="1"/>
    </xf>
    <xf numFmtId="170" fontId="78" fillId="33" borderId="11" xfId="0" applyNumberFormat="1" applyFont="1" applyFill="1" applyBorder="1" applyAlignment="1">
      <alignment/>
    </xf>
    <xf numFmtId="0" fontId="2" fillId="0" borderId="0" xfId="0" applyFont="1" applyFill="1" applyBorder="1" applyAlignment="1">
      <alignment horizontal="center" vertical="center"/>
    </xf>
    <xf numFmtId="170" fontId="78" fillId="33" borderId="0" xfId="0" applyNumberFormat="1" applyFont="1" applyFill="1" applyBorder="1" applyAlignment="1">
      <alignment horizontal="center" vertical="center"/>
    </xf>
    <xf numFmtId="170" fontId="78" fillId="33" borderId="0" xfId="0" applyNumberFormat="1" applyFont="1" applyFill="1" applyBorder="1" applyAlignment="1">
      <alignment horizontal="justify" vertical="center" wrapText="1"/>
    </xf>
    <xf numFmtId="170" fontId="78" fillId="33" borderId="0" xfId="0" applyNumberFormat="1" applyFont="1" applyFill="1" applyBorder="1" applyAlignment="1">
      <alignment/>
    </xf>
    <xf numFmtId="0" fontId="9" fillId="33" borderId="0" xfId="0" applyFont="1" applyFill="1" applyBorder="1" applyAlignment="1">
      <alignment horizontal="center"/>
    </xf>
    <xf numFmtId="172" fontId="4" fillId="33" borderId="0" xfId="0" applyNumberFormat="1" applyFont="1" applyFill="1" applyBorder="1" applyAlignment="1">
      <alignment/>
    </xf>
    <xf numFmtId="4" fontId="4" fillId="33" borderId="0" xfId="0" applyNumberFormat="1" applyFont="1" applyFill="1" applyBorder="1" applyAlignment="1">
      <alignment/>
    </xf>
    <xf numFmtId="0" fontId="9" fillId="33" borderId="20" xfId="0" applyFont="1" applyFill="1" applyBorder="1" applyAlignment="1">
      <alignment horizontal="center"/>
    </xf>
    <xf numFmtId="4" fontId="77" fillId="33" borderId="20" xfId="0" applyNumberFormat="1" applyFont="1" applyFill="1" applyBorder="1" applyAlignment="1">
      <alignment horizontal="justify" vertical="center" wrapText="1"/>
    </xf>
    <xf numFmtId="49" fontId="76" fillId="0" borderId="22" xfId="51" applyNumberFormat="1" applyFont="1" applyFill="1" applyBorder="1" applyAlignment="1">
      <alignment horizontal="center"/>
      <protection/>
    </xf>
    <xf numFmtId="170" fontId="77" fillId="0" borderId="22" xfId="51" applyNumberFormat="1" applyFont="1" applyFill="1" applyBorder="1" applyAlignment="1">
      <alignment horizontal="justify" vertical="center" wrapText="1"/>
      <protection/>
    </xf>
    <xf numFmtId="170" fontId="77" fillId="0" borderId="22" xfId="51" applyNumberFormat="1" applyFont="1" applyFill="1" applyBorder="1">
      <alignment/>
      <protection/>
    </xf>
    <xf numFmtId="170" fontId="4" fillId="0" borderId="22" xfId="51" applyNumberFormat="1" applyFont="1" applyFill="1" applyBorder="1" applyAlignment="1">
      <alignment horizontal="center" vertical="center" wrapText="1"/>
      <protection/>
    </xf>
    <xf numFmtId="170" fontId="4" fillId="0" borderId="22" xfId="51" applyNumberFormat="1" applyFont="1" applyFill="1" applyBorder="1" applyAlignment="1">
      <alignment horizontal="right" wrapText="1"/>
      <protection/>
    </xf>
    <xf numFmtId="0" fontId="10" fillId="0" borderId="26" xfId="0" applyFont="1" applyFill="1" applyBorder="1" applyAlignment="1">
      <alignment horizontal="center" vertical="center"/>
    </xf>
    <xf numFmtId="0" fontId="9" fillId="33" borderId="27" xfId="0" applyFont="1" applyFill="1" applyBorder="1" applyAlignment="1">
      <alignment horizontal="center"/>
    </xf>
    <xf numFmtId="4" fontId="77" fillId="33" borderId="27" xfId="0" applyNumberFormat="1" applyFont="1" applyFill="1" applyBorder="1" applyAlignment="1">
      <alignment horizontal="justify" vertical="center" wrapText="1"/>
    </xf>
    <xf numFmtId="0" fontId="4" fillId="33" borderId="27" xfId="0" applyFont="1" applyFill="1" applyBorder="1" applyAlignment="1">
      <alignment/>
    </xf>
    <xf numFmtId="0" fontId="4" fillId="33" borderId="28" xfId="0" applyFont="1" applyFill="1" applyBorder="1" applyAlignment="1">
      <alignment/>
    </xf>
    <xf numFmtId="176" fontId="9" fillId="36" borderId="0" xfId="0" applyNumberFormat="1" applyFont="1" applyFill="1" applyBorder="1" applyAlignment="1">
      <alignment/>
    </xf>
    <xf numFmtId="49" fontId="76" fillId="0" borderId="20" xfId="55" applyNumberFormat="1" applyFont="1" applyFill="1" applyBorder="1" applyAlignment="1">
      <alignment horizontal="center" vertical="center"/>
      <protection/>
    </xf>
    <xf numFmtId="0" fontId="56" fillId="0" borderId="20" xfId="0" applyFont="1" applyBorder="1" applyAlignment="1">
      <alignment horizontal="justify" vertical="center" wrapText="1"/>
    </xf>
    <xf numFmtId="0" fontId="0" fillId="0" borderId="20" xfId="0" applyFont="1" applyBorder="1" applyAlignment="1">
      <alignment/>
    </xf>
    <xf numFmtId="49" fontId="76" fillId="0" borderId="22" xfId="55" applyNumberFormat="1" applyFont="1" applyFill="1" applyBorder="1" applyAlignment="1">
      <alignment horizontal="center" vertical="center"/>
      <protection/>
    </xf>
    <xf numFmtId="0" fontId="56" fillId="0" borderId="22" xfId="0" applyFont="1" applyBorder="1" applyAlignment="1">
      <alignment horizontal="justify" vertical="center" wrapText="1"/>
    </xf>
    <xf numFmtId="0" fontId="0" fillId="0" borderId="22" xfId="0" applyBorder="1" applyAlignment="1">
      <alignment/>
    </xf>
    <xf numFmtId="49" fontId="89" fillId="0" borderId="12" xfId="55" applyNumberFormat="1" applyFont="1" applyFill="1" applyBorder="1" applyAlignment="1">
      <alignment horizontal="center" vertical="center"/>
      <protection/>
    </xf>
    <xf numFmtId="0" fontId="56" fillId="0" borderId="10" xfId="0" applyFont="1" applyBorder="1" applyAlignment="1">
      <alignment horizontal="justify" vertical="center" wrapText="1"/>
    </xf>
    <xf numFmtId="0" fontId="0" fillId="0" borderId="10" xfId="0" applyFont="1" applyBorder="1" applyAlignment="1">
      <alignment/>
    </xf>
    <xf numFmtId="0" fontId="0" fillId="0" borderId="14" xfId="0" applyFont="1" applyBorder="1" applyAlignment="1">
      <alignment/>
    </xf>
    <xf numFmtId="49" fontId="89" fillId="0" borderId="13" xfId="55" applyNumberFormat="1" applyFont="1" applyFill="1" applyBorder="1" applyAlignment="1">
      <alignment horizontal="center" vertical="center"/>
      <protection/>
    </xf>
    <xf numFmtId="0" fontId="0" fillId="0" borderId="15" xfId="0" applyFont="1" applyBorder="1" applyAlignment="1">
      <alignment/>
    </xf>
    <xf numFmtId="49" fontId="89" fillId="0" borderId="19" xfId="55" applyNumberFormat="1" applyFont="1" applyFill="1" applyBorder="1" applyAlignment="1">
      <alignment horizontal="center" vertical="center"/>
      <protection/>
    </xf>
    <xf numFmtId="0" fontId="56" fillId="0" borderId="16" xfId="0" applyFont="1" applyBorder="1" applyAlignment="1">
      <alignment horizontal="justify" vertical="center" wrapText="1"/>
    </xf>
    <xf numFmtId="0" fontId="0" fillId="0" borderId="16" xfId="0" applyFont="1" applyBorder="1" applyAlignment="1">
      <alignment/>
    </xf>
    <xf numFmtId="0" fontId="0" fillId="0" borderId="18" xfId="0" applyFont="1" applyBorder="1" applyAlignment="1">
      <alignment/>
    </xf>
    <xf numFmtId="4" fontId="9" fillId="0" borderId="10" xfId="0" applyNumberFormat="1" applyFont="1" applyFill="1" applyBorder="1" applyAlignment="1">
      <alignment horizontal="center"/>
    </xf>
    <xf numFmtId="4" fontId="9" fillId="0" borderId="0" xfId="0" applyNumberFormat="1" applyFont="1" applyFill="1" applyBorder="1" applyAlignment="1">
      <alignment horizontal="center"/>
    </xf>
    <xf numFmtId="170" fontId="78" fillId="0" borderId="0" xfId="51" applyNumberFormat="1" applyFont="1" applyFill="1" applyBorder="1" applyAlignment="1">
      <alignment horizontal="center"/>
      <protection/>
    </xf>
    <xf numFmtId="170" fontId="78" fillId="35" borderId="11" xfId="51" applyNumberFormat="1" applyFont="1" applyFill="1" applyBorder="1" applyAlignment="1">
      <alignment horizontal="center"/>
      <protection/>
    </xf>
    <xf numFmtId="170" fontId="9" fillId="33" borderId="11" xfId="51" applyNumberFormat="1" applyFont="1" applyFill="1" applyBorder="1" applyAlignment="1">
      <alignment horizontal="center"/>
      <protection/>
    </xf>
    <xf numFmtId="170" fontId="9" fillId="0" borderId="0" xfId="51" applyNumberFormat="1" applyFont="1" applyFill="1" applyBorder="1" applyAlignment="1">
      <alignment horizontal="center"/>
      <protection/>
    </xf>
    <xf numFmtId="170" fontId="16" fillId="35" borderId="11" xfId="0" applyNumberFormat="1" applyFont="1" applyFill="1" applyBorder="1" applyAlignment="1">
      <alignment horizontal="center"/>
    </xf>
    <xf numFmtId="170" fontId="78" fillId="33" borderId="11" xfId="51" applyNumberFormat="1" applyFont="1" applyFill="1" applyBorder="1" applyAlignment="1">
      <alignment horizontal="center"/>
      <protection/>
    </xf>
    <xf numFmtId="170" fontId="78" fillId="33" borderId="0" xfId="51" applyNumberFormat="1" applyFont="1" applyFill="1" applyBorder="1" applyAlignment="1">
      <alignment horizontal="center"/>
      <protection/>
    </xf>
    <xf numFmtId="0" fontId="9" fillId="33" borderId="10" xfId="0" applyFont="1" applyFill="1" applyBorder="1" applyAlignment="1">
      <alignment horizontal="center"/>
    </xf>
    <xf numFmtId="0" fontId="17" fillId="33" borderId="0" xfId="0" applyFont="1" applyFill="1" applyAlignment="1">
      <alignment horizontal="center"/>
    </xf>
    <xf numFmtId="0" fontId="17" fillId="33" borderId="0" xfId="0" applyFont="1" applyFill="1" applyBorder="1" applyAlignment="1">
      <alignment horizontal="center"/>
    </xf>
    <xf numFmtId="0" fontId="9" fillId="0" borderId="16" xfId="0" applyFont="1" applyFill="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15" fillId="33" borderId="11" xfId="0" applyFont="1" applyFill="1" applyBorder="1" applyAlignment="1">
      <alignment horizontal="center"/>
    </xf>
    <xf numFmtId="0" fontId="15" fillId="33" borderId="0" xfId="0" applyFont="1" applyFill="1" applyBorder="1" applyAlignment="1">
      <alignment horizontal="center"/>
    </xf>
    <xf numFmtId="0" fontId="15" fillId="0" borderId="20" xfId="0" applyFont="1" applyBorder="1" applyAlignment="1">
      <alignment horizontal="center"/>
    </xf>
    <xf numFmtId="0" fontId="15" fillId="0" borderId="10" xfId="0" applyFont="1" applyBorder="1" applyAlignment="1">
      <alignment horizontal="center"/>
    </xf>
    <xf numFmtId="0" fontId="15" fillId="0" borderId="16"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8" fillId="35" borderId="29" xfId="0" applyFont="1" applyFill="1" applyBorder="1" applyAlignment="1">
      <alignment horizontal="center"/>
    </xf>
    <xf numFmtId="170" fontId="9" fillId="35" borderId="11" xfId="0" applyNumberFormat="1" applyFont="1" applyFill="1" applyBorder="1" applyAlignment="1">
      <alignment horizontal="center"/>
    </xf>
    <xf numFmtId="0" fontId="17" fillId="0" borderId="0" xfId="0" applyFont="1" applyFill="1" applyAlignment="1">
      <alignment horizontal="center"/>
    </xf>
    <xf numFmtId="170" fontId="15" fillId="0" borderId="11" xfId="0" applyNumberFormat="1" applyFont="1" applyFill="1" applyBorder="1" applyAlignment="1">
      <alignment horizontal="center"/>
    </xf>
    <xf numFmtId="170" fontId="15" fillId="0" borderId="0" xfId="0" applyNumberFormat="1" applyFont="1" applyFill="1" applyBorder="1" applyAlignment="1">
      <alignment horizontal="center"/>
    </xf>
    <xf numFmtId="0" fontId="9" fillId="35" borderId="11" xfId="0" applyFont="1" applyFill="1" applyBorder="1" applyAlignment="1">
      <alignment horizontal="center" vertical="justify" wrapText="1"/>
    </xf>
    <xf numFmtId="170" fontId="78" fillId="0" borderId="22" xfId="51" applyNumberFormat="1" applyFont="1" applyFill="1" applyBorder="1" applyAlignment="1">
      <alignment horizontal="center"/>
      <protection/>
    </xf>
    <xf numFmtId="49" fontId="78" fillId="33" borderId="11" xfId="55" applyNumberFormat="1" applyFont="1" applyFill="1" applyBorder="1" applyAlignment="1">
      <alignment horizontal="center" vertical="center"/>
      <protection/>
    </xf>
    <xf numFmtId="4" fontId="78" fillId="33" borderId="11" xfId="0" applyNumberFormat="1" applyFont="1" applyFill="1" applyBorder="1" applyAlignment="1">
      <alignment horizontal="justify" vertical="center" wrapText="1"/>
    </xf>
    <xf numFmtId="0" fontId="77" fillId="33" borderId="11" xfId="0" applyFont="1" applyFill="1" applyBorder="1" applyAlignment="1">
      <alignment horizontal="right" vertical="center" wrapText="1"/>
    </xf>
    <xf numFmtId="0" fontId="4" fillId="33" borderId="0" xfId="0" applyFont="1" applyFill="1" applyBorder="1" applyAlignment="1">
      <alignment horizontal="center" vertical="center"/>
    </xf>
    <xf numFmtId="49" fontId="78" fillId="33" borderId="0" xfId="55" applyNumberFormat="1" applyFont="1" applyFill="1" applyBorder="1" applyAlignment="1">
      <alignment horizontal="center" vertical="center"/>
      <protection/>
    </xf>
    <xf numFmtId="4" fontId="78" fillId="33" borderId="0" xfId="0" applyNumberFormat="1" applyFont="1" applyFill="1" applyBorder="1" applyAlignment="1">
      <alignment horizontal="justify" vertical="center" wrapText="1"/>
    </xf>
    <xf numFmtId="0" fontId="77" fillId="33" borderId="0" xfId="0" applyFont="1" applyFill="1" applyBorder="1" applyAlignment="1">
      <alignment horizontal="right" vertical="center" wrapText="1"/>
    </xf>
    <xf numFmtId="49" fontId="90" fillId="33" borderId="0" xfId="55" applyNumberFormat="1" applyFont="1" applyFill="1" applyBorder="1" applyAlignment="1">
      <alignment horizontal="center" vertical="center"/>
      <protection/>
    </xf>
    <xf numFmtId="4" fontId="90" fillId="33" borderId="0" xfId="0" applyNumberFormat="1" applyFont="1" applyFill="1" applyBorder="1" applyAlignment="1">
      <alignment horizontal="justify" vertical="center" wrapText="1"/>
    </xf>
    <xf numFmtId="0" fontId="85" fillId="33" borderId="0" xfId="0" applyFont="1" applyFill="1" applyBorder="1" applyAlignment="1">
      <alignment horizontal="right" vertical="center" wrapText="1"/>
    </xf>
    <xf numFmtId="0" fontId="90" fillId="33" borderId="0" xfId="55" applyNumberFormat="1" applyFont="1" applyFill="1" applyBorder="1" applyAlignment="1">
      <alignment horizontal="center" vertical="center"/>
      <protection/>
    </xf>
    <xf numFmtId="0" fontId="90" fillId="33" borderId="0" xfId="0" applyNumberFormat="1" applyFont="1" applyFill="1" applyBorder="1" applyAlignment="1">
      <alignment horizontal="justify" vertical="center" wrapText="1"/>
    </xf>
    <xf numFmtId="170" fontId="4" fillId="33" borderId="0" xfId="0" applyNumberFormat="1" applyFont="1" applyFill="1" applyAlignment="1">
      <alignment/>
    </xf>
    <xf numFmtId="49" fontId="75" fillId="33" borderId="0" xfId="55" applyNumberFormat="1" applyFont="1" applyFill="1" applyBorder="1" applyAlignment="1">
      <alignment horizontal="center" vertical="center"/>
      <protection/>
    </xf>
    <xf numFmtId="170" fontId="7" fillId="33" borderId="0" xfId="0" applyNumberFormat="1" applyFont="1" applyFill="1" applyAlignment="1">
      <alignment/>
    </xf>
    <xf numFmtId="0" fontId="2" fillId="33" borderId="0" xfId="0" applyFont="1" applyFill="1" applyAlignment="1">
      <alignment horizontal="center"/>
    </xf>
    <xf numFmtId="0" fontId="6" fillId="33" borderId="0" xfId="0" applyFont="1" applyFill="1" applyAlignment="1">
      <alignment horizontal="justify" vertical="center" wrapText="1"/>
    </xf>
    <xf numFmtId="0" fontId="6" fillId="33" borderId="0" xfId="0" applyFont="1" applyFill="1" applyAlignment="1">
      <alignment/>
    </xf>
    <xf numFmtId="170" fontId="6" fillId="33" borderId="0" xfId="0" applyNumberFormat="1" applyFont="1" applyFill="1" applyAlignment="1">
      <alignment/>
    </xf>
    <xf numFmtId="49" fontId="83" fillId="33" borderId="0" xfId="55" applyNumberFormat="1" applyFont="1" applyFill="1" applyBorder="1" applyAlignment="1">
      <alignment horizontal="center" vertical="center"/>
      <protection/>
    </xf>
    <xf numFmtId="4" fontId="91" fillId="33" borderId="0" xfId="0" applyNumberFormat="1" applyFont="1" applyFill="1" applyBorder="1" applyAlignment="1">
      <alignment horizontal="justify" vertical="center" wrapText="1"/>
    </xf>
    <xf numFmtId="0" fontId="91" fillId="33" borderId="0" xfId="0" applyFont="1" applyFill="1" applyBorder="1" applyAlignment="1">
      <alignment horizontal="right" vertical="center" wrapText="1"/>
    </xf>
    <xf numFmtId="170" fontId="91" fillId="33" borderId="0" xfId="0" applyNumberFormat="1" applyFont="1" applyFill="1" applyBorder="1" applyAlignment="1">
      <alignment horizontal="right" vertical="center" wrapText="1"/>
    </xf>
    <xf numFmtId="0" fontId="7" fillId="33" borderId="0" xfId="0" applyFont="1" applyFill="1" applyBorder="1" applyAlignment="1">
      <alignment horizontal="justify" vertical="center" wrapText="1"/>
    </xf>
    <xf numFmtId="0" fontId="7" fillId="33" borderId="0" xfId="0" applyFont="1" applyFill="1" applyBorder="1" applyAlignment="1">
      <alignment/>
    </xf>
    <xf numFmtId="0" fontId="4" fillId="33" borderId="10" xfId="0" applyFont="1" applyFill="1" applyBorder="1" applyAlignment="1">
      <alignment horizontal="justify" vertical="center" wrapText="1"/>
    </xf>
    <xf numFmtId="0" fontId="7" fillId="33" borderId="15" xfId="0" applyFont="1" applyFill="1" applyBorder="1" applyAlignment="1">
      <alignment/>
    </xf>
    <xf numFmtId="0" fontId="83" fillId="33" borderId="13" xfId="0" applyFont="1" applyFill="1" applyBorder="1" applyAlignment="1">
      <alignment horizontal="center" vertical="center"/>
    </xf>
    <xf numFmtId="170" fontId="91" fillId="33" borderId="15" xfId="0" applyNumberFormat="1" applyFont="1" applyFill="1" applyBorder="1" applyAlignment="1">
      <alignment/>
    </xf>
    <xf numFmtId="49" fontId="76" fillId="33" borderId="13" xfId="55" applyNumberFormat="1" applyFont="1" applyFill="1" applyBorder="1" applyAlignment="1">
      <alignment horizontal="center" vertical="center"/>
      <protection/>
    </xf>
    <xf numFmtId="0" fontId="9" fillId="33" borderId="16" xfId="0" applyFont="1" applyFill="1" applyBorder="1" applyAlignment="1">
      <alignment horizontal="center"/>
    </xf>
    <xf numFmtId="0" fontId="4" fillId="33" borderId="16" xfId="0" applyFont="1" applyFill="1" applyBorder="1" applyAlignment="1">
      <alignment horizontal="justify" vertical="center" wrapText="1"/>
    </xf>
    <xf numFmtId="0" fontId="4" fillId="33" borderId="20" xfId="0" applyFont="1" applyFill="1" applyBorder="1" applyAlignment="1">
      <alignment horizontal="justify" vertical="center" wrapText="1"/>
    </xf>
    <xf numFmtId="0" fontId="10" fillId="33" borderId="22" xfId="0" applyFont="1" applyFill="1" applyBorder="1" applyAlignment="1">
      <alignment horizontal="center" vertical="center"/>
    </xf>
    <xf numFmtId="49" fontId="78" fillId="33" borderId="22" xfId="55" applyNumberFormat="1" applyFont="1" applyFill="1" applyBorder="1" applyAlignment="1">
      <alignment horizontal="center" vertical="center" wrapText="1"/>
      <protection/>
    </xf>
    <xf numFmtId="4" fontId="77" fillId="33" borderId="22" xfId="0" applyNumberFormat="1" applyFont="1" applyFill="1" applyBorder="1" applyAlignment="1">
      <alignment horizontal="justify" vertical="center" wrapText="1"/>
    </xf>
    <xf numFmtId="0" fontId="77" fillId="33" borderId="22" xfId="0" applyFont="1" applyFill="1" applyBorder="1" applyAlignment="1">
      <alignment horizontal="right" vertical="center" wrapText="1"/>
    </xf>
    <xf numFmtId="170" fontId="77" fillId="33" borderId="22" xfId="0" applyNumberFormat="1" applyFont="1" applyFill="1" applyBorder="1" applyAlignment="1">
      <alignment horizontal="right" vertical="center" wrapText="1"/>
    </xf>
    <xf numFmtId="170" fontId="4" fillId="33" borderId="22" xfId="0" applyNumberFormat="1" applyFont="1" applyFill="1" applyBorder="1" applyAlignment="1">
      <alignment/>
    </xf>
    <xf numFmtId="49" fontId="78" fillId="33" borderId="0" xfId="55" applyNumberFormat="1" applyFont="1" applyFill="1" applyBorder="1" applyAlignment="1">
      <alignment horizontal="center" vertical="center" wrapText="1"/>
      <protection/>
    </xf>
    <xf numFmtId="170" fontId="77" fillId="33" borderId="0" xfId="0" applyNumberFormat="1" applyFont="1" applyFill="1" applyBorder="1" applyAlignment="1">
      <alignment horizontal="right" vertical="center" wrapText="1"/>
    </xf>
    <xf numFmtId="49" fontId="90" fillId="33" borderId="0" xfId="55" applyNumberFormat="1" applyFont="1" applyFill="1" applyBorder="1" applyAlignment="1">
      <alignment horizontal="center" vertical="center" wrapText="1"/>
      <protection/>
    </xf>
    <xf numFmtId="170" fontId="85" fillId="33" borderId="0" xfId="0" applyNumberFormat="1" applyFont="1" applyFill="1" applyBorder="1" applyAlignment="1">
      <alignment horizontal="right" vertical="center" wrapText="1"/>
    </xf>
    <xf numFmtId="49" fontId="10" fillId="33" borderId="0" xfId="55" applyNumberFormat="1" applyFont="1" applyFill="1" applyBorder="1" applyAlignment="1">
      <alignment horizontal="center" vertical="center"/>
      <protection/>
    </xf>
    <xf numFmtId="49" fontId="2" fillId="33" borderId="0" xfId="55" applyNumberFormat="1" applyFont="1" applyFill="1" applyBorder="1" applyAlignment="1">
      <alignment horizontal="center" vertical="center"/>
      <protection/>
    </xf>
    <xf numFmtId="4" fontId="6" fillId="33" borderId="0" xfId="0" applyNumberFormat="1" applyFont="1" applyFill="1" applyBorder="1" applyAlignment="1">
      <alignment horizontal="justify" vertical="center" wrapText="1"/>
    </xf>
    <xf numFmtId="0" fontId="6" fillId="33" borderId="0" xfId="0" applyFont="1" applyFill="1" applyBorder="1" applyAlignment="1">
      <alignment horizontal="right" vertical="center" wrapText="1"/>
    </xf>
    <xf numFmtId="170" fontId="6" fillId="33" borderId="0" xfId="0" applyNumberFormat="1" applyFont="1" applyFill="1" applyBorder="1" applyAlignment="1">
      <alignment horizontal="right" vertical="center" wrapText="1"/>
    </xf>
    <xf numFmtId="170" fontId="6" fillId="33" borderId="0" xfId="0" applyNumberFormat="1" applyFont="1" applyFill="1" applyBorder="1" applyAlignment="1">
      <alignment/>
    </xf>
    <xf numFmtId="49" fontId="78" fillId="33" borderId="11" xfId="55" applyNumberFormat="1" applyFont="1" applyFill="1" applyBorder="1" applyAlignment="1">
      <alignment horizontal="center" vertical="center" wrapText="1"/>
      <protection/>
    </xf>
    <xf numFmtId="170" fontId="77" fillId="33" borderId="11" xfId="0" applyNumberFormat="1" applyFont="1" applyFill="1" applyBorder="1" applyAlignment="1">
      <alignment horizontal="right" vertical="center" wrapText="1"/>
    </xf>
    <xf numFmtId="0" fontId="4" fillId="33" borderId="0" xfId="0" applyFont="1" applyFill="1" applyBorder="1" applyAlignment="1">
      <alignment horizontal="center"/>
    </xf>
    <xf numFmtId="49" fontId="76" fillId="33" borderId="20" xfId="55" applyNumberFormat="1" applyFont="1" applyFill="1" applyBorder="1" applyAlignment="1">
      <alignment horizontal="center" vertical="center"/>
      <protection/>
    </xf>
    <xf numFmtId="0" fontId="9" fillId="33" borderId="22" xfId="0" applyFont="1" applyFill="1" applyBorder="1" applyAlignment="1">
      <alignment horizontal="center" vertical="center" wrapText="1"/>
    </xf>
    <xf numFmtId="0" fontId="4" fillId="33" borderId="22" xfId="0" applyFont="1" applyFill="1" applyBorder="1" applyAlignment="1">
      <alignment horizontal="justify" vertical="center" wrapText="1"/>
    </xf>
    <xf numFmtId="0" fontId="4" fillId="33" borderId="22" xfId="0" applyFont="1" applyFill="1" applyBorder="1" applyAlignment="1">
      <alignment/>
    </xf>
    <xf numFmtId="49" fontId="76" fillId="33" borderId="12" xfId="55" applyNumberFormat="1" applyFont="1" applyFill="1" applyBorder="1" applyAlignment="1">
      <alignment horizontal="center" vertical="center"/>
      <protection/>
    </xf>
    <xf numFmtId="49" fontId="76" fillId="0" borderId="13" xfId="55" applyNumberFormat="1" applyFont="1" applyFill="1" applyBorder="1" applyAlignment="1">
      <alignment horizontal="center" vertical="center"/>
      <protection/>
    </xf>
    <xf numFmtId="0" fontId="10" fillId="0" borderId="13" xfId="0" applyFont="1" applyFill="1" applyBorder="1" applyAlignment="1">
      <alignment horizontal="center" vertical="center"/>
    </xf>
    <xf numFmtId="0" fontId="4" fillId="0" borderId="16" xfId="0" applyFont="1" applyFill="1" applyBorder="1" applyAlignment="1">
      <alignment horizontal="justify" vertical="center" wrapText="1"/>
    </xf>
    <xf numFmtId="49" fontId="10" fillId="33" borderId="13" xfId="55" applyNumberFormat="1" applyFont="1" applyFill="1" applyBorder="1" applyAlignment="1">
      <alignment horizontal="center" vertical="center"/>
      <protection/>
    </xf>
    <xf numFmtId="170" fontId="6" fillId="33" borderId="15" xfId="0" applyNumberFormat="1" applyFont="1" applyFill="1" applyBorder="1" applyAlignment="1">
      <alignment/>
    </xf>
    <xf numFmtId="0" fontId="2" fillId="33" borderId="22" xfId="0" applyFont="1" applyFill="1" applyBorder="1" applyAlignment="1">
      <alignment horizontal="center" vertical="center"/>
    </xf>
    <xf numFmtId="0" fontId="9" fillId="33" borderId="22" xfId="0" applyFont="1" applyFill="1" applyBorder="1" applyAlignment="1">
      <alignment horizontal="center"/>
    </xf>
    <xf numFmtId="0" fontId="17" fillId="0" borderId="0" xfId="0" applyFont="1" applyFill="1" applyBorder="1" applyAlignment="1">
      <alignment horizontal="center"/>
    </xf>
    <xf numFmtId="0" fontId="7" fillId="0" borderId="0" xfId="0" applyFont="1" applyFill="1" applyBorder="1" applyAlignment="1">
      <alignment horizontal="justify" vertical="center" wrapText="1"/>
    </xf>
    <xf numFmtId="0" fontId="2" fillId="33" borderId="0" xfId="0" applyFont="1" applyFill="1" applyBorder="1" applyAlignment="1">
      <alignment horizontal="center"/>
    </xf>
    <xf numFmtId="0" fontId="6" fillId="33" borderId="0" xfId="0" applyFont="1" applyFill="1" applyBorder="1" applyAlignment="1">
      <alignment horizontal="justify" vertical="center" wrapText="1"/>
    </xf>
    <xf numFmtId="0" fontId="6" fillId="33" borderId="0" xfId="0" applyFont="1" applyFill="1" applyBorder="1" applyAlignment="1">
      <alignment/>
    </xf>
    <xf numFmtId="0" fontId="4" fillId="0" borderId="15" xfId="0" applyFont="1" applyFill="1" applyBorder="1" applyAlignment="1">
      <alignment/>
    </xf>
    <xf numFmtId="0" fontId="2" fillId="0" borderId="13" xfId="0" applyFont="1" applyFill="1" applyBorder="1" applyAlignment="1">
      <alignment horizontal="center" vertical="center"/>
    </xf>
    <xf numFmtId="0" fontId="2" fillId="33" borderId="13" xfId="0" applyFont="1" applyFill="1" applyBorder="1" applyAlignment="1">
      <alignment horizontal="center" vertical="center"/>
    </xf>
    <xf numFmtId="0" fontId="6" fillId="33" borderId="15" xfId="0" applyFont="1" applyFill="1" applyBorder="1" applyAlignment="1">
      <alignment/>
    </xf>
    <xf numFmtId="0" fontId="2" fillId="0" borderId="19"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22" xfId="0" applyFont="1" applyFill="1" applyBorder="1" applyAlignment="1">
      <alignment horizontal="center"/>
    </xf>
    <xf numFmtId="4" fontId="77" fillId="0" borderId="22" xfId="0" applyNumberFormat="1" applyFont="1" applyFill="1" applyBorder="1" applyAlignment="1">
      <alignment horizontal="justify" vertical="center" wrapText="1"/>
    </xf>
    <xf numFmtId="0" fontId="4" fillId="0" borderId="22" xfId="0" applyFont="1" applyFill="1" applyBorder="1" applyAlignment="1">
      <alignment/>
    </xf>
    <xf numFmtId="4" fontId="77" fillId="33" borderId="10" xfId="0" applyNumberFormat="1" applyFont="1" applyFill="1" applyBorder="1" applyAlignment="1">
      <alignment horizontal="justify" vertical="center" wrapText="1"/>
    </xf>
    <xf numFmtId="4" fontId="77" fillId="33" borderId="16" xfId="0" applyNumberFormat="1" applyFont="1" applyFill="1" applyBorder="1" applyAlignment="1">
      <alignment horizontal="justify" vertical="center" wrapText="1"/>
    </xf>
    <xf numFmtId="4" fontId="4" fillId="33" borderId="0" xfId="0" applyNumberFormat="1" applyFont="1" applyFill="1" applyBorder="1" applyAlignment="1">
      <alignment horizontal="justify" vertical="center" wrapText="1"/>
    </xf>
    <xf numFmtId="173" fontId="4" fillId="33" borderId="0" xfId="0" applyNumberFormat="1" applyFont="1" applyFill="1" applyAlignment="1">
      <alignment/>
    </xf>
    <xf numFmtId="0" fontId="2" fillId="35" borderId="0" xfId="0" applyFont="1" applyFill="1" applyBorder="1" applyAlignment="1">
      <alignment horizontal="center"/>
    </xf>
    <xf numFmtId="0" fontId="10" fillId="0" borderId="12" xfId="0" applyFont="1" applyFill="1" applyBorder="1" applyAlignment="1">
      <alignment horizontal="center" vertical="center"/>
    </xf>
    <xf numFmtId="172" fontId="4" fillId="33" borderId="10" xfId="0" applyNumberFormat="1" applyFont="1" applyFill="1" applyBorder="1" applyAlignment="1">
      <alignment/>
    </xf>
    <xf numFmtId="172" fontId="4" fillId="33" borderId="15" xfId="0" applyNumberFormat="1" applyFont="1" applyFill="1" applyBorder="1" applyAlignment="1">
      <alignment/>
    </xf>
    <xf numFmtId="4" fontId="2" fillId="35" borderId="15" xfId="0" applyNumberFormat="1" applyFont="1" applyFill="1" applyBorder="1" applyAlignment="1">
      <alignment/>
    </xf>
    <xf numFmtId="4" fontId="4" fillId="33" borderId="20" xfId="0" applyNumberFormat="1" applyFont="1" applyFill="1" applyBorder="1" applyAlignment="1">
      <alignment/>
    </xf>
    <xf numFmtId="0" fontId="2" fillId="35" borderId="22" xfId="0" applyFont="1" applyFill="1" applyBorder="1" applyAlignment="1">
      <alignment horizontal="center" vertical="center"/>
    </xf>
    <xf numFmtId="0" fontId="2" fillId="35" borderId="22" xfId="0" applyFont="1" applyFill="1" applyBorder="1" applyAlignment="1">
      <alignment horizontal="center"/>
    </xf>
    <xf numFmtId="4" fontId="75" fillId="35" borderId="22" xfId="0" applyNumberFormat="1" applyFont="1" applyFill="1" applyBorder="1" applyAlignment="1">
      <alignment horizontal="justify" vertical="center" wrapText="1"/>
    </xf>
    <xf numFmtId="0" fontId="4" fillId="35" borderId="22" xfId="0" applyFont="1" applyFill="1" applyBorder="1" applyAlignment="1">
      <alignment/>
    </xf>
    <xf numFmtId="0" fontId="17" fillId="33" borderId="0" xfId="0" applyFont="1" applyFill="1" applyBorder="1" applyAlignment="1">
      <alignment horizontal="center" wrapText="1"/>
    </xf>
    <xf numFmtId="0" fontId="7" fillId="33" borderId="0" xfId="0" applyFont="1" applyFill="1" applyBorder="1" applyAlignment="1">
      <alignment wrapText="1"/>
    </xf>
    <xf numFmtId="0" fontId="7" fillId="33" borderId="15" xfId="0" applyFont="1" applyFill="1" applyBorder="1" applyAlignment="1">
      <alignment wrapText="1"/>
    </xf>
    <xf numFmtId="0" fontId="2" fillId="33" borderId="0" xfId="0" applyFont="1" applyFill="1" applyBorder="1" applyAlignment="1">
      <alignment horizontal="center" vertical="center" wrapText="1"/>
    </xf>
    <xf numFmtId="0" fontId="6" fillId="33" borderId="0" xfId="0" applyFont="1" applyFill="1" applyBorder="1" applyAlignment="1">
      <alignment wrapText="1"/>
    </xf>
    <xf numFmtId="0" fontId="6" fillId="33" borderId="15" xfId="0" applyFont="1" applyFill="1" applyBorder="1" applyAlignment="1">
      <alignment wrapText="1"/>
    </xf>
    <xf numFmtId="4" fontId="6" fillId="0" borderId="0" xfId="0" applyNumberFormat="1" applyFont="1" applyFill="1" applyAlignment="1">
      <alignment/>
    </xf>
    <xf numFmtId="4" fontId="10" fillId="0" borderId="0" xfId="0" applyNumberFormat="1" applyFont="1" applyFill="1" applyAlignment="1">
      <alignment/>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0" fontId="77" fillId="0" borderId="10" xfId="51" applyNumberFormat="1" applyFont="1" applyFill="1" applyBorder="1" applyAlignment="1">
      <alignment horizontal="justify" vertical="center" wrapText="1"/>
      <protection/>
    </xf>
    <xf numFmtId="0" fontId="4" fillId="0" borderId="10" xfId="0" applyFont="1" applyFill="1" applyBorder="1" applyAlignment="1">
      <alignment/>
    </xf>
    <xf numFmtId="0" fontId="4" fillId="0" borderId="14" xfId="0" applyFont="1" applyFill="1" applyBorder="1" applyAlignment="1">
      <alignment/>
    </xf>
    <xf numFmtId="49" fontId="81" fillId="33" borderId="11" xfId="55" applyNumberFormat="1" applyFont="1" applyFill="1" applyBorder="1" applyAlignment="1">
      <alignment horizontal="center" vertical="center" wrapText="1"/>
      <protection/>
    </xf>
    <xf numFmtId="170" fontId="78" fillId="33" borderId="11" xfId="51" applyNumberFormat="1" applyFont="1" applyFill="1" applyBorder="1" applyAlignment="1">
      <alignment horizontal="left" vertical="center" wrapText="1"/>
      <protection/>
    </xf>
    <xf numFmtId="4" fontId="78" fillId="33" borderId="11" xfId="55" applyNumberFormat="1" applyFont="1" applyFill="1" applyBorder="1" applyAlignment="1">
      <alignment horizontal="right" wrapText="1"/>
      <protection/>
    </xf>
    <xf numFmtId="170" fontId="4" fillId="33" borderId="22" xfId="51" applyNumberFormat="1" applyFont="1" applyFill="1" applyBorder="1" applyAlignment="1">
      <alignment horizontal="justify" vertical="center" wrapText="1"/>
      <protection/>
    </xf>
    <xf numFmtId="170" fontId="15" fillId="33" borderId="23" xfId="0" applyNumberFormat="1" applyFont="1" applyFill="1" applyBorder="1" applyAlignment="1">
      <alignment horizontal="center"/>
    </xf>
    <xf numFmtId="170" fontId="0" fillId="33" borderId="0" xfId="0" applyNumberFormat="1" applyFont="1" applyFill="1" applyBorder="1" applyAlignment="1">
      <alignment horizontal="justify" vertical="center" wrapText="1"/>
    </xf>
    <xf numFmtId="170" fontId="0" fillId="33" borderId="0" xfId="0" applyNumberFormat="1" applyFont="1" applyFill="1" applyBorder="1" applyAlignment="1">
      <alignment/>
    </xf>
    <xf numFmtId="170" fontId="0" fillId="33" borderId="17" xfId="0" applyNumberFormat="1" applyFont="1" applyFill="1" applyBorder="1" applyAlignment="1">
      <alignment/>
    </xf>
    <xf numFmtId="170" fontId="13" fillId="33" borderId="17" xfId="0" applyNumberFormat="1" applyFont="1" applyFill="1" applyBorder="1" applyAlignment="1">
      <alignment/>
    </xf>
    <xf numFmtId="0" fontId="9" fillId="33" borderId="29" xfId="0" applyFont="1" applyFill="1" applyBorder="1" applyAlignment="1">
      <alignment horizontal="center"/>
    </xf>
    <xf numFmtId="170" fontId="4" fillId="33" borderId="24" xfId="51" applyNumberFormat="1" applyFont="1" applyFill="1" applyBorder="1" applyAlignment="1">
      <alignment horizontal="justify" vertical="center" wrapText="1"/>
      <protection/>
    </xf>
    <xf numFmtId="0" fontId="4" fillId="33" borderId="24" xfId="0" applyFont="1" applyFill="1" applyBorder="1" applyAlignment="1">
      <alignment/>
    </xf>
    <xf numFmtId="0" fontId="4" fillId="33" borderId="25" xfId="0" applyFont="1" applyFill="1" applyBorder="1" applyAlignment="1">
      <alignment/>
    </xf>
    <xf numFmtId="170" fontId="4" fillId="0" borderId="0" xfId="51" applyNumberFormat="1" applyFont="1" applyFill="1" applyAlignment="1">
      <alignment horizontal="justify" vertical="center" wrapText="1"/>
      <protection/>
    </xf>
    <xf numFmtId="0" fontId="6" fillId="33" borderId="0" xfId="0" applyFont="1" applyFill="1" applyBorder="1" applyAlignment="1">
      <alignment horizontal="center" vertical="center"/>
    </xf>
    <xf numFmtId="49" fontId="81" fillId="33" borderId="11" xfId="55" applyNumberFormat="1" applyFont="1" applyFill="1" applyBorder="1" applyAlignment="1">
      <alignment horizontal="center" vertical="center"/>
      <protection/>
    </xf>
    <xf numFmtId="0" fontId="2" fillId="33" borderId="11" xfId="0" applyFont="1" applyFill="1" applyBorder="1" applyAlignment="1">
      <alignment horizontal="center"/>
    </xf>
    <xf numFmtId="0" fontId="9" fillId="33" borderId="11" xfId="0" applyFont="1" applyFill="1" applyBorder="1" applyAlignment="1">
      <alignment/>
    </xf>
    <xf numFmtId="175" fontId="9" fillId="33" borderId="20" xfId="0" applyNumberFormat="1" applyFont="1" applyFill="1" applyBorder="1" applyAlignment="1">
      <alignment/>
    </xf>
    <xf numFmtId="4" fontId="9" fillId="33" borderId="11" xfId="0" applyNumberFormat="1" applyFont="1" applyFill="1" applyBorder="1" applyAlignment="1">
      <alignment wrapText="1"/>
    </xf>
    <xf numFmtId="170" fontId="9" fillId="33" borderId="11" xfId="0" applyNumberFormat="1" applyFont="1" applyFill="1" applyBorder="1" applyAlignment="1">
      <alignment/>
    </xf>
    <xf numFmtId="4" fontId="81" fillId="33" borderId="11" xfId="55" applyNumberFormat="1" applyFont="1" applyFill="1" applyBorder="1" applyAlignment="1">
      <alignment horizontal="center" vertical="center" wrapText="1"/>
      <protection/>
    </xf>
    <xf numFmtId="4" fontId="81" fillId="33" borderId="11" xfId="55" applyNumberFormat="1" applyFont="1" applyFill="1" applyBorder="1" applyAlignment="1">
      <alignment horizontal="right" vertical="center" wrapText="1"/>
      <protection/>
    </xf>
    <xf numFmtId="4" fontId="78" fillId="33" borderId="11" xfId="0" applyNumberFormat="1" applyFont="1" applyFill="1" applyBorder="1" applyAlignment="1">
      <alignment horizontal="left" vertical="center" wrapText="1"/>
    </xf>
    <xf numFmtId="176" fontId="83" fillId="36" borderId="0" xfId="0" applyNumberFormat="1" applyFont="1" applyFill="1" applyBorder="1" applyAlignment="1">
      <alignment/>
    </xf>
    <xf numFmtId="0" fontId="83" fillId="36" borderId="0" xfId="0" applyFont="1" applyFill="1" applyAlignment="1">
      <alignment/>
    </xf>
    <xf numFmtId="176" fontId="81" fillId="0" borderId="0" xfId="54" applyNumberFormat="1" applyFont="1" applyFill="1" applyAlignment="1">
      <alignment horizontal="center"/>
      <protection/>
    </xf>
    <xf numFmtId="176" fontId="80" fillId="0" borderId="0" xfId="0" applyNumberFormat="1" applyFont="1" applyFill="1" applyAlignment="1">
      <alignment horizontal="center" vertical="center" wrapText="1"/>
    </xf>
    <xf numFmtId="176" fontId="2" fillId="0" borderId="0" xfId="0" applyNumberFormat="1" applyFont="1" applyFill="1" applyAlignment="1">
      <alignment horizontal="center"/>
    </xf>
    <xf numFmtId="176" fontId="2" fillId="0" borderId="0" xfId="0" applyNumberFormat="1" applyFont="1" applyFill="1" applyBorder="1" applyAlignment="1">
      <alignment horizontal="center"/>
    </xf>
    <xf numFmtId="176" fontId="2" fillId="33" borderId="0" xfId="0" applyNumberFormat="1" applyFont="1" applyFill="1" applyBorder="1" applyAlignment="1">
      <alignment horizontal="center"/>
    </xf>
    <xf numFmtId="176" fontId="2" fillId="36" borderId="0" xfId="0" applyNumberFormat="1" applyFont="1" applyFill="1" applyBorder="1" applyAlignment="1">
      <alignment horizontal="center"/>
    </xf>
    <xf numFmtId="176" fontId="6" fillId="0" borderId="0" xfId="0" applyNumberFormat="1" applyFont="1" applyFill="1" applyAlignment="1">
      <alignment horizontal="center"/>
    </xf>
    <xf numFmtId="0" fontId="4" fillId="0" borderId="20" xfId="0" applyFont="1" applyFill="1" applyBorder="1" applyAlignment="1">
      <alignment horizontal="justify" vertical="center" wrapText="1"/>
    </xf>
    <xf numFmtId="0" fontId="9" fillId="0" borderId="10" xfId="0" applyFont="1" applyFill="1" applyBorder="1" applyAlignment="1">
      <alignment horizontal="center"/>
    </xf>
    <xf numFmtId="0" fontId="4" fillId="0" borderId="10" xfId="0" applyFont="1" applyFill="1" applyBorder="1" applyAlignment="1">
      <alignment horizontal="justify" vertical="center" wrapText="1"/>
    </xf>
    <xf numFmtId="0" fontId="83" fillId="36" borderId="11" xfId="0" applyFont="1" applyFill="1" applyBorder="1" applyAlignment="1">
      <alignment horizontal="center" vertical="center"/>
    </xf>
    <xf numFmtId="0" fontId="83" fillId="0" borderId="0" xfId="0" applyFont="1" applyFill="1" applyAlignment="1">
      <alignment horizontal="center" vertical="center"/>
    </xf>
    <xf numFmtId="0" fontId="92" fillId="0" borderId="0" xfId="0" applyFont="1" applyFill="1" applyAlignment="1">
      <alignment horizontal="center"/>
    </xf>
    <xf numFmtId="0" fontId="79" fillId="0" borderId="0" xfId="0" applyFont="1" applyFill="1" applyAlignment="1">
      <alignment horizontal="justify" vertical="center" wrapText="1"/>
    </xf>
    <xf numFmtId="0" fontId="79" fillId="36" borderId="0" xfId="0" applyFont="1" applyFill="1" applyAlignment="1">
      <alignment/>
    </xf>
    <xf numFmtId="0" fontId="6" fillId="0" borderId="11" xfId="0" applyFont="1" applyFill="1" applyBorder="1" applyAlignment="1">
      <alignment/>
    </xf>
    <xf numFmtId="0" fontId="92" fillId="36" borderId="11" xfId="0" applyFont="1" applyFill="1" applyBorder="1" applyAlignment="1">
      <alignment horizontal="center"/>
    </xf>
    <xf numFmtId="0" fontId="79" fillId="36" borderId="11" xfId="0" applyFont="1" applyFill="1" applyBorder="1" applyAlignment="1">
      <alignment horizontal="justify" vertical="center" wrapText="1"/>
    </xf>
    <xf numFmtId="0" fontId="79" fillId="36" borderId="11" xfId="0" applyFont="1" applyFill="1" applyBorder="1" applyAlignment="1">
      <alignment/>
    </xf>
    <xf numFmtId="0" fontId="83" fillId="0" borderId="11" xfId="0" applyFont="1" applyFill="1" applyBorder="1" applyAlignment="1">
      <alignment horizontal="center" vertical="center"/>
    </xf>
    <xf numFmtId="0" fontId="92" fillId="0" borderId="11" xfId="0" applyFont="1" applyFill="1" applyBorder="1" applyAlignment="1">
      <alignment horizontal="center"/>
    </xf>
    <xf numFmtId="0" fontId="79" fillId="0" borderId="11" xfId="0" applyFont="1" applyFill="1" applyBorder="1" applyAlignment="1">
      <alignment horizontal="justify" vertical="center" wrapText="1"/>
    </xf>
    <xf numFmtId="0" fontId="79" fillId="0" borderId="11" xfId="0" applyFont="1" applyFill="1" applyBorder="1" applyAlignment="1">
      <alignment/>
    </xf>
    <xf numFmtId="49" fontId="9" fillId="33" borderId="11" xfId="55" applyNumberFormat="1" applyFont="1" applyFill="1" applyBorder="1" applyAlignment="1">
      <alignment horizontal="center" vertical="center" wrapText="1"/>
      <protection/>
    </xf>
    <xf numFmtId="49" fontId="9" fillId="33" borderId="11" xfId="55" applyNumberFormat="1" applyFont="1" applyFill="1" applyBorder="1" applyAlignment="1">
      <alignment horizontal="center" vertical="center"/>
      <protection/>
    </xf>
    <xf numFmtId="0" fontId="9" fillId="33" borderId="11" xfId="0" applyFont="1" applyFill="1" applyBorder="1" applyAlignment="1">
      <alignment horizontal="center" wrapText="1"/>
    </xf>
    <xf numFmtId="4" fontId="9" fillId="33" borderId="11" xfId="55" applyNumberFormat="1" applyFont="1" applyFill="1" applyBorder="1" applyAlignment="1">
      <alignment wrapText="1"/>
      <protection/>
    </xf>
    <xf numFmtId="49" fontId="11" fillId="33" borderId="11" xfId="55" applyNumberFormat="1" applyFont="1" applyFill="1" applyBorder="1" applyAlignment="1">
      <alignment horizontal="center" vertical="center"/>
      <protection/>
    </xf>
    <xf numFmtId="4" fontId="9" fillId="33" borderId="11" xfId="0" applyNumberFormat="1" applyFont="1" applyFill="1" applyBorder="1" applyAlignment="1">
      <alignment horizontal="justify" vertical="center" wrapText="1"/>
    </xf>
    <xf numFmtId="0" fontId="4" fillId="33" borderId="11" xfId="0" applyFont="1" applyFill="1" applyBorder="1" applyAlignment="1">
      <alignment horizontal="right" vertical="center" wrapText="1"/>
    </xf>
    <xf numFmtId="0" fontId="2" fillId="33" borderId="11" xfId="0" applyFont="1" applyFill="1" applyBorder="1" applyAlignment="1">
      <alignment horizontal="center" vertical="center"/>
    </xf>
    <xf numFmtId="0" fontId="15" fillId="33" borderId="11" xfId="0" applyFont="1" applyFill="1" applyBorder="1" applyAlignment="1">
      <alignment horizontal="center" vertical="center" wrapText="1"/>
    </xf>
    <xf numFmtId="4" fontId="81" fillId="33" borderId="11" xfId="55" applyNumberFormat="1" applyFont="1" applyFill="1" applyBorder="1" applyAlignment="1">
      <alignment horizontal="left" vertical="center" wrapText="1"/>
      <protection/>
    </xf>
    <xf numFmtId="0" fontId="78" fillId="33" borderId="11" xfId="0" applyFont="1" applyFill="1" applyBorder="1" applyAlignment="1">
      <alignment horizontal="left" vertical="center" wrapText="1"/>
    </xf>
    <xf numFmtId="0" fontId="6" fillId="33" borderId="11" xfId="0" applyFont="1" applyFill="1" applyBorder="1" applyAlignment="1">
      <alignment horizontal="justify" vertical="center" wrapText="1"/>
    </xf>
    <xf numFmtId="0" fontId="6" fillId="33" borderId="11" xfId="0" applyFont="1" applyFill="1" applyBorder="1" applyAlignment="1">
      <alignment/>
    </xf>
    <xf numFmtId="2" fontId="9" fillId="33" borderId="11" xfId="0" applyNumberFormat="1" applyFont="1" applyFill="1" applyBorder="1" applyAlignment="1">
      <alignment/>
    </xf>
    <xf numFmtId="2" fontId="4" fillId="33" borderId="0" xfId="0" applyNumberFormat="1" applyFont="1" applyFill="1" applyBorder="1" applyAlignment="1">
      <alignment/>
    </xf>
    <xf numFmtId="0" fontId="10" fillId="36" borderId="11" xfId="0" applyFont="1" applyFill="1" applyBorder="1" applyAlignment="1">
      <alignment horizontal="center" vertical="center"/>
    </xf>
    <xf numFmtId="0" fontId="9" fillId="36" borderId="11" xfId="0" applyFont="1" applyFill="1" applyBorder="1" applyAlignment="1">
      <alignment horizontal="center"/>
    </xf>
    <xf numFmtId="4" fontId="77" fillId="36" borderId="11" xfId="0" applyNumberFormat="1" applyFont="1" applyFill="1" applyBorder="1" applyAlignment="1">
      <alignment horizontal="justify" vertical="center" wrapText="1"/>
    </xf>
    <xf numFmtId="0" fontId="4" fillId="36" borderId="11" xfId="0" applyFont="1" applyFill="1" applyBorder="1" applyAlignment="1">
      <alignment/>
    </xf>
    <xf numFmtId="2" fontId="4" fillId="36" borderId="11" xfId="0" applyNumberFormat="1" applyFont="1" applyFill="1" applyBorder="1" applyAlignment="1">
      <alignment/>
    </xf>
    <xf numFmtId="49" fontId="83" fillId="36" borderId="11" xfId="55" applyNumberFormat="1" applyFont="1" applyFill="1" applyBorder="1" applyAlignment="1">
      <alignment horizontal="center" vertical="center" wrapText="1"/>
      <protection/>
    </xf>
    <xf numFmtId="0" fontId="92" fillId="36" borderId="11" xfId="0" applyFont="1" applyFill="1" applyBorder="1" applyAlignment="1">
      <alignment horizontal="center" vertical="center"/>
    </xf>
    <xf numFmtId="4" fontId="92" fillId="36" borderId="11" xfId="0" applyNumberFormat="1" applyFont="1" applyFill="1" applyBorder="1" applyAlignment="1">
      <alignment horizontal="left" vertical="center" wrapText="1"/>
    </xf>
    <xf numFmtId="4" fontId="92" fillId="36" borderId="11" xfId="0" applyNumberFormat="1" applyFont="1" applyFill="1" applyBorder="1" applyAlignment="1">
      <alignment horizontal="right"/>
    </xf>
    <xf numFmtId="175" fontId="92" fillId="36" borderId="11" xfId="0" applyNumberFormat="1" applyFont="1" applyFill="1" applyBorder="1" applyAlignment="1">
      <alignment/>
    </xf>
    <xf numFmtId="4" fontId="92" fillId="36" borderId="11" xfId="0" applyNumberFormat="1" applyFont="1" applyFill="1" applyBorder="1" applyAlignment="1">
      <alignment/>
    </xf>
    <xf numFmtId="170" fontId="92" fillId="36" borderId="11" xfId="0" applyNumberFormat="1" applyFont="1" applyFill="1" applyBorder="1" applyAlignment="1">
      <alignment/>
    </xf>
    <xf numFmtId="176" fontId="83" fillId="36" borderId="0" xfId="0" applyNumberFormat="1" applyFont="1" applyFill="1" applyBorder="1" applyAlignment="1">
      <alignment horizontal="center"/>
    </xf>
    <xf numFmtId="176" fontId="92" fillId="36" borderId="0" xfId="0" applyNumberFormat="1" applyFont="1" applyFill="1" applyBorder="1" applyAlignment="1">
      <alignment/>
    </xf>
    <xf numFmtId="0" fontId="92" fillId="36" borderId="0" xfId="0" applyFont="1" applyFill="1" applyAlignment="1">
      <alignment/>
    </xf>
    <xf numFmtId="49" fontId="81" fillId="36" borderId="11" xfId="55" applyNumberFormat="1" applyFont="1" applyFill="1" applyBorder="1" applyAlignment="1">
      <alignment horizontal="center" vertical="center" wrapText="1"/>
      <protection/>
    </xf>
    <xf numFmtId="0" fontId="9" fillId="36" borderId="11" xfId="0" applyFont="1" applyFill="1" applyBorder="1" applyAlignment="1">
      <alignment horizontal="left" vertical="center" wrapText="1"/>
    </xf>
    <xf numFmtId="4" fontId="9" fillId="36" borderId="11" xfId="0" applyNumberFormat="1" applyFont="1" applyFill="1" applyBorder="1" applyAlignment="1">
      <alignment/>
    </xf>
    <xf numFmtId="175" fontId="9" fillId="36" borderId="11" xfId="0" applyNumberFormat="1" applyFont="1" applyFill="1" applyBorder="1" applyAlignment="1">
      <alignment/>
    </xf>
    <xf numFmtId="4" fontId="9" fillId="36" borderId="11" xfId="0" applyNumberFormat="1" applyFont="1" applyFill="1" applyBorder="1" applyAlignment="1">
      <alignment/>
    </xf>
    <xf numFmtId="170" fontId="9" fillId="36" borderId="11" xfId="0" applyNumberFormat="1" applyFont="1" applyFill="1" applyBorder="1" applyAlignment="1">
      <alignment/>
    </xf>
    <xf numFmtId="0" fontId="2" fillId="36" borderId="11" xfId="0" applyFont="1" applyFill="1" applyBorder="1" applyAlignment="1">
      <alignment horizontal="center" vertical="center"/>
    </xf>
    <xf numFmtId="0" fontId="9" fillId="36" borderId="11" xfId="0" applyFont="1" applyFill="1" applyBorder="1" applyAlignment="1">
      <alignment horizontal="center" vertical="center"/>
    </xf>
    <xf numFmtId="49" fontId="81" fillId="36" borderId="20" xfId="55" applyNumberFormat="1" applyFont="1" applyFill="1" applyBorder="1" applyAlignment="1">
      <alignment horizontal="center" vertical="center" wrapText="1"/>
      <protection/>
    </xf>
    <xf numFmtId="0" fontId="9" fillId="36" borderId="11" xfId="0" applyFont="1" applyFill="1" applyBorder="1" applyAlignment="1">
      <alignment horizontal="center" vertical="center" wrapText="1"/>
    </xf>
    <xf numFmtId="4" fontId="9" fillId="36" borderId="11" xfId="0" applyNumberFormat="1" applyFont="1" applyFill="1" applyBorder="1" applyAlignment="1">
      <alignment horizontal="right"/>
    </xf>
    <xf numFmtId="49" fontId="77" fillId="0" borderId="13" xfId="51" applyNumberFormat="1" applyFont="1" applyFill="1" applyBorder="1" applyAlignment="1">
      <alignment horizontal="left" vertical="center" wrapText="1" readingOrder="1"/>
      <protection/>
    </xf>
    <xf numFmtId="0" fontId="0" fillId="0" borderId="0" xfId="0" applyFill="1" applyBorder="1" applyAlignment="1">
      <alignment horizontal="left" vertical="center" wrapText="1" readingOrder="1"/>
    </xf>
    <xf numFmtId="0" fontId="0" fillId="0" borderId="15" xfId="0" applyFill="1" applyBorder="1" applyAlignment="1">
      <alignment horizontal="left" vertical="center" wrapText="1" readingOrder="1"/>
    </xf>
    <xf numFmtId="4" fontId="77" fillId="0" borderId="13" xfId="51" applyNumberFormat="1" applyFont="1" applyFill="1" applyBorder="1" applyAlignment="1">
      <alignment horizontal="left" vertical="center" wrapText="1" readingOrder="1"/>
      <protection/>
    </xf>
    <xf numFmtId="0" fontId="0" fillId="0" borderId="0" xfId="0" applyBorder="1" applyAlignment="1">
      <alignment horizontal="left" vertical="center" wrapText="1"/>
    </xf>
    <xf numFmtId="0" fontId="0" fillId="0" borderId="15" xfId="0" applyBorder="1" applyAlignment="1">
      <alignment horizontal="left" vertical="center" wrapText="1"/>
    </xf>
    <xf numFmtId="4" fontId="4" fillId="33" borderId="13" xfId="51" applyNumberFormat="1" applyFont="1" applyFill="1" applyBorder="1" applyAlignment="1">
      <alignment horizontal="left" vertical="center" wrapText="1" readingOrder="1"/>
      <protection/>
    </xf>
    <xf numFmtId="0" fontId="0" fillId="33" borderId="0" xfId="0" applyFont="1" applyFill="1" applyBorder="1" applyAlignment="1">
      <alignment horizontal="left" vertical="center" wrapText="1" readingOrder="1"/>
    </xf>
    <xf numFmtId="0" fontId="0" fillId="33" borderId="15" xfId="0" applyFont="1" applyFill="1" applyBorder="1" applyAlignment="1">
      <alignment horizontal="left" vertical="center" wrapText="1" readingOrder="1"/>
    </xf>
    <xf numFmtId="4" fontId="77" fillId="0" borderId="13" xfId="54" applyNumberFormat="1" applyFont="1" applyFill="1" applyBorder="1" applyAlignment="1">
      <alignment horizontal="left" vertical="center" wrapText="1" readingOrder="1"/>
      <protection/>
    </xf>
    <xf numFmtId="0" fontId="6"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4" fontId="93" fillId="0" borderId="0" xfId="0" applyNumberFormat="1" applyFont="1" applyFill="1" applyBorder="1" applyAlignment="1">
      <alignment horizontal="justify" vertical="center" wrapText="1"/>
    </xf>
    <xf numFmtId="170" fontId="12" fillId="33" borderId="0" xfId="0" applyNumberFormat="1" applyFont="1" applyFill="1" applyBorder="1" applyAlignment="1">
      <alignment horizontal="center" vertical="center" wrapText="1"/>
    </xf>
    <xf numFmtId="0" fontId="0" fillId="33" borderId="0" xfId="0" applyFont="1" applyFill="1" applyAlignment="1">
      <alignment horizontal="center" vertical="center" wrapText="1"/>
    </xf>
    <xf numFmtId="4" fontId="81" fillId="34" borderId="11" xfId="55" applyNumberFormat="1" applyFont="1" applyFill="1" applyBorder="1" applyAlignment="1">
      <alignment horizontal="right" vertical="center" wrapText="1"/>
      <protection/>
    </xf>
    <xf numFmtId="49" fontId="78" fillId="0" borderId="26" xfId="51" applyNumberFormat="1" applyFont="1" applyFill="1" applyBorder="1" applyAlignment="1">
      <alignment horizontal="left" vertical="center" wrapText="1"/>
      <protection/>
    </xf>
    <xf numFmtId="49" fontId="78" fillId="0" borderId="27" xfId="51" applyNumberFormat="1" applyFont="1" applyFill="1" applyBorder="1" applyAlignment="1">
      <alignment horizontal="left" vertical="center" wrapText="1"/>
      <protection/>
    </xf>
    <xf numFmtId="49" fontId="78" fillId="0" borderId="28" xfId="51" applyNumberFormat="1" applyFont="1" applyFill="1" applyBorder="1" applyAlignment="1">
      <alignment horizontal="left" vertical="center" wrapText="1"/>
      <protection/>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49" fontId="81" fillId="0" borderId="20" xfId="55" applyNumberFormat="1" applyFont="1" applyFill="1" applyBorder="1" applyAlignment="1">
      <alignment horizontal="center" vertical="center" wrapText="1"/>
      <protection/>
    </xf>
    <xf numFmtId="49" fontId="81" fillId="0" borderId="22"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center" vertical="center" wrapText="1"/>
      <protection/>
    </xf>
    <xf numFmtId="4" fontId="81" fillId="0" borderId="22"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center" wrapText="1"/>
      <protection/>
    </xf>
    <xf numFmtId="4" fontId="81" fillId="0" borderId="22" xfId="55" applyNumberFormat="1" applyFont="1" applyFill="1" applyBorder="1" applyAlignment="1">
      <alignment horizontal="center" wrapText="1"/>
      <protection/>
    </xf>
    <xf numFmtId="49" fontId="81" fillId="0" borderId="26" xfId="54" applyNumberFormat="1"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4" fontId="9" fillId="0" borderId="22" xfId="0" applyNumberFormat="1" applyFont="1" applyFill="1" applyBorder="1" applyAlignment="1">
      <alignment horizontal="center" vertical="center" wrapText="1"/>
    </xf>
    <xf numFmtId="170" fontId="81" fillId="0" borderId="20" xfId="55" applyNumberFormat="1" applyFont="1" applyFill="1" applyBorder="1" applyAlignment="1">
      <alignment horizontal="center" vertical="center" wrapText="1"/>
      <protection/>
    </xf>
    <xf numFmtId="170" fontId="81" fillId="0" borderId="22" xfId="55" applyNumberFormat="1" applyFont="1" applyFill="1" applyBorder="1" applyAlignment="1">
      <alignment horizontal="center" vertical="center" wrapText="1"/>
      <protection/>
    </xf>
    <xf numFmtId="49" fontId="87" fillId="0" borderId="12" xfId="54" applyNumberFormat="1" applyFont="1" applyFill="1" applyBorder="1" applyAlignment="1">
      <alignment horizontal="left" vertical="center" wrapText="1"/>
      <protection/>
    </xf>
    <xf numFmtId="0" fontId="16" fillId="0" borderId="10" xfId="0" applyFont="1" applyFill="1" applyBorder="1" applyAlignment="1">
      <alignment horizontal="left" vertical="center" wrapText="1"/>
    </xf>
    <xf numFmtId="49" fontId="87" fillId="0" borderId="13" xfId="51" applyNumberFormat="1" applyFont="1" applyFill="1" applyBorder="1" applyAlignment="1">
      <alignment horizontal="left" vertical="center" wrapText="1"/>
      <protection/>
    </xf>
    <xf numFmtId="0" fontId="16" fillId="0" borderId="0" xfId="0" applyFont="1" applyFill="1" applyAlignment="1">
      <alignment horizontal="left" vertical="center" wrapText="1"/>
    </xf>
    <xf numFmtId="10" fontId="15" fillId="0" borderId="20" xfId="0" applyNumberFormat="1" applyFont="1" applyBorder="1" applyAlignment="1">
      <alignment horizontal="center" vertical="center" wrapText="1"/>
    </xf>
    <xf numFmtId="10" fontId="15" fillId="0" borderId="22"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49" fontId="9" fillId="0" borderId="27"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wrapText="1"/>
    </xf>
    <xf numFmtId="49" fontId="78" fillId="0" borderId="13" xfId="51" applyNumberFormat="1" applyFont="1" applyFill="1" applyBorder="1" applyAlignment="1">
      <alignment horizontal="left" vertical="center" wrapText="1"/>
      <protection/>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4" fontId="78" fillId="0" borderId="13" xfId="51" applyNumberFormat="1" applyFont="1" applyFill="1" applyBorder="1" applyAlignment="1">
      <alignment horizontal="left" vertical="center" wrapText="1" readingOrder="1"/>
      <protection/>
    </xf>
    <xf numFmtId="0" fontId="9" fillId="0" borderId="0" xfId="0" applyFont="1" applyAlignment="1">
      <alignment horizontal="left" vertical="center" wrapText="1" readingOrder="1"/>
    </xf>
    <xf numFmtId="0" fontId="9" fillId="0" borderId="0" xfId="0" applyFont="1" applyBorder="1" applyAlignment="1">
      <alignment horizontal="left" vertical="center" wrapText="1" readingOrder="1"/>
    </xf>
    <xf numFmtId="0" fontId="15" fillId="0" borderId="0" xfId="0" applyFont="1" applyAlignment="1">
      <alignment horizontal="left" vertical="center" wrapText="1" readingOrder="1"/>
    </xf>
    <xf numFmtId="0" fontId="15" fillId="0" borderId="0" xfId="0" applyFont="1" applyBorder="1" applyAlignment="1">
      <alignment horizontal="left" vertical="center" wrapText="1" readingOrder="1"/>
    </xf>
    <xf numFmtId="0" fontId="15" fillId="0" borderId="15" xfId="0" applyFont="1" applyBorder="1" applyAlignment="1">
      <alignment horizontal="left" vertical="center" wrapText="1"/>
    </xf>
    <xf numFmtId="0" fontId="84" fillId="0" borderId="11" xfId="0" applyFont="1" applyBorder="1" applyAlignment="1">
      <alignment horizontal="center" vertical="center" wrapText="1"/>
    </xf>
    <xf numFmtId="49" fontId="76" fillId="0" borderId="12" xfId="54" applyNumberFormat="1" applyFont="1" applyFill="1" applyBorder="1" applyAlignment="1">
      <alignment horizontal="left" vertical="center" wrapText="1"/>
      <protection/>
    </xf>
    <xf numFmtId="0" fontId="11" fillId="0" borderId="10" xfId="0" applyFont="1" applyBorder="1" applyAlignment="1">
      <alignment horizontal="left" vertical="center" wrapText="1"/>
    </xf>
    <xf numFmtId="0" fontId="18" fillId="0" borderId="10" xfId="0" applyFont="1" applyBorder="1" applyAlignment="1">
      <alignment horizontal="left" vertical="center" wrapText="1"/>
    </xf>
    <xf numFmtId="49" fontId="76" fillId="0" borderId="13" xfId="51" applyNumberFormat="1" applyFont="1" applyFill="1" applyBorder="1" applyAlignment="1">
      <alignment horizontal="left" vertical="center" wrapText="1"/>
      <protection/>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44" fontId="15" fillId="0" borderId="20" xfId="0" applyNumberFormat="1" applyFont="1" applyBorder="1" applyAlignment="1">
      <alignment horizontal="right" vertical="center" wrapText="1"/>
    </xf>
    <xf numFmtId="10" fontId="15" fillId="0" borderId="19" xfId="0" applyNumberFormat="1" applyFont="1" applyBorder="1" applyAlignment="1">
      <alignment horizontal="center" vertical="center" wrapText="1"/>
    </xf>
    <xf numFmtId="10" fontId="15" fillId="0" borderId="18" xfId="0" applyNumberFormat="1" applyFont="1" applyBorder="1" applyAlignment="1">
      <alignment horizontal="center" vertical="center" wrapText="1"/>
    </xf>
    <xf numFmtId="44" fontId="15" fillId="0" borderId="12" xfId="0" applyNumberFormat="1" applyFont="1" applyBorder="1" applyAlignment="1">
      <alignment horizontal="right" vertical="center" wrapText="1"/>
    </xf>
    <xf numFmtId="44" fontId="15" fillId="0" borderId="14" xfId="0" applyNumberFormat="1" applyFont="1" applyBorder="1" applyAlignment="1">
      <alignment horizontal="right"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26" xfId="54" applyFont="1" applyFill="1" applyBorder="1" applyAlignment="1">
      <alignment horizontal="center" vertical="center" wrapText="1"/>
      <protection/>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4" fontId="9" fillId="33" borderId="13" xfId="51" applyNumberFormat="1" applyFont="1" applyFill="1" applyBorder="1" applyAlignment="1">
      <alignment horizontal="left" vertical="center" wrapText="1" readingOrder="1"/>
      <protection/>
    </xf>
    <xf numFmtId="0" fontId="15" fillId="33" borderId="0" xfId="0" applyFont="1" applyFill="1" applyAlignment="1">
      <alignment horizontal="left" vertical="center" wrapText="1"/>
    </xf>
    <xf numFmtId="0" fontId="15" fillId="33" borderId="0" xfId="0" applyFont="1" applyFill="1" applyBorder="1" applyAlignment="1">
      <alignment horizontal="left" vertical="center" wrapText="1"/>
    </xf>
    <xf numFmtId="0" fontId="15" fillId="33" borderId="15" xfId="0" applyFont="1" applyFill="1" applyBorder="1" applyAlignment="1">
      <alignment horizontal="left" vertical="center" wrapText="1"/>
    </xf>
    <xf numFmtId="4" fontId="9" fillId="33" borderId="19" xfId="54" applyNumberFormat="1" applyFont="1" applyFill="1" applyBorder="1" applyAlignment="1">
      <alignment horizontal="left" vertical="center" wrapText="1" readingOrder="1"/>
      <protection/>
    </xf>
    <xf numFmtId="0" fontId="9" fillId="33" borderId="16" xfId="0" applyFont="1" applyFill="1" applyBorder="1" applyAlignment="1">
      <alignment horizontal="left" vertical="center" wrapText="1" readingOrder="1"/>
    </xf>
    <xf numFmtId="0" fontId="15" fillId="33" borderId="16" xfId="0" applyFont="1" applyFill="1" applyBorder="1" applyAlignment="1">
      <alignment horizontal="left" vertical="center" wrapText="1"/>
    </xf>
    <xf numFmtId="0" fontId="15" fillId="33" borderId="18" xfId="0" applyFont="1" applyFill="1" applyBorder="1" applyAlignment="1">
      <alignment horizontal="left" vertical="center" wrapText="1"/>
    </xf>
    <xf numFmtId="181" fontId="9" fillId="0" borderId="0" xfId="0" applyNumberFormat="1" applyFont="1" applyFill="1" applyAlignment="1">
      <alignment/>
    </xf>
    <xf numFmtId="181" fontId="9" fillId="0" borderId="0" xfId="0" applyNumberFormat="1" applyFont="1" applyFill="1" applyBorder="1" applyAlignment="1">
      <alignment/>
    </xf>
    <xf numFmtId="181" fontId="9" fillId="33" borderId="0" xfId="0" applyNumberFormat="1" applyFont="1" applyFill="1" applyBorder="1" applyAlignment="1">
      <alignment/>
    </xf>
    <xf numFmtId="181" fontId="9" fillId="36" borderId="0" xfId="0" applyNumberFormat="1" applyFont="1" applyFill="1" applyBorder="1" applyAlignment="1">
      <alignment/>
    </xf>
    <xf numFmtId="181" fontId="83" fillId="36" borderId="0" xfId="0" applyNumberFormat="1" applyFont="1" applyFill="1" applyBorder="1" applyAlignment="1">
      <alignment/>
    </xf>
    <xf numFmtId="181" fontId="92" fillId="36" borderId="0" xfId="0" applyNumberFormat="1" applyFont="1" applyFill="1" applyBorder="1" applyAlignment="1">
      <alignment/>
    </xf>
    <xf numFmtId="181" fontId="6" fillId="0" borderId="0" xfId="0" applyNumberFormat="1" applyFont="1" applyFill="1" applyAlignment="1">
      <alignment/>
    </xf>
    <xf numFmtId="181" fontId="4" fillId="0" borderId="0" xfId="0" applyNumberFormat="1" applyFont="1" applyFill="1" applyAlignment="1">
      <alignment/>
    </xf>
    <xf numFmtId="181" fontId="4" fillId="33" borderId="0" xfId="0" applyNumberFormat="1" applyFont="1" applyFill="1" applyAlignment="1">
      <alignment/>
    </xf>
    <xf numFmtId="181" fontId="79" fillId="0" borderId="0" xfId="0" applyNumberFormat="1" applyFont="1" applyFill="1" applyAlignment="1">
      <alignment/>
    </xf>
    <xf numFmtId="181" fontId="81" fillId="0" borderId="0" xfId="54" applyNumberFormat="1" applyFont="1" applyFill="1">
      <alignment/>
      <protection/>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2 3" xfId="51"/>
    <cellStyle name="Normal 3" xfId="52"/>
    <cellStyle name="Normal_P_Getulio Vargas" xfId="53"/>
    <cellStyle name="Normal_P_Getulio Vargas 2" xfId="54"/>
    <cellStyle name="Normal_P-HLEITE"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1257300</xdr:colOff>
      <xdr:row>7</xdr:row>
      <xdr:rowOff>76200</xdr:rowOff>
    </xdr:to>
    <xdr:pic>
      <xdr:nvPicPr>
        <xdr:cNvPr id="1" name="Picture 2"/>
        <xdr:cNvPicPr preferRelativeResize="1">
          <a:picLocks noChangeAspect="1"/>
        </xdr:cNvPicPr>
      </xdr:nvPicPr>
      <xdr:blipFill>
        <a:blip r:embed="rId1"/>
        <a:stretch>
          <a:fillRect/>
        </a:stretch>
      </xdr:blipFill>
      <xdr:spPr>
        <a:xfrm>
          <a:off x="390525" y="76200"/>
          <a:ext cx="158115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1257300</xdr:colOff>
      <xdr:row>7</xdr:row>
      <xdr:rowOff>76200</xdr:rowOff>
    </xdr:to>
    <xdr:pic>
      <xdr:nvPicPr>
        <xdr:cNvPr id="1" name="Picture 2"/>
        <xdr:cNvPicPr preferRelativeResize="1">
          <a:picLocks noChangeAspect="1"/>
        </xdr:cNvPicPr>
      </xdr:nvPicPr>
      <xdr:blipFill>
        <a:blip r:embed="rId1"/>
        <a:stretch>
          <a:fillRect/>
        </a:stretch>
      </xdr:blipFill>
      <xdr:spPr>
        <a:xfrm>
          <a:off x="390525" y="76200"/>
          <a:ext cx="1581150" cy="1600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190500</xdr:rowOff>
    </xdr:from>
    <xdr:to>
      <xdr:col>1</xdr:col>
      <xdr:colOff>1066800</xdr:colOff>
      <xdr:row>6</xdr:row>
      <xdr:rowOff>133350</xdr:rowOff>
    </xdr:to>
    <xdr:pic>
      <xdr:nvPicPr>
        <xdr:cNvPr id="1" name="Picture 2"/>
        <xdr:cNvPicPr preferRelativeResize="1">
          <a:picLocks noChangeAspect="1"/>
        </xdr:cNvPicPr>
      </xdr:nvPicPr>
      <xdr:blipFill>
        <a:blip r:embed="rId1"/>
        <a:stretch>
          <a:fillRect/>
        </a:stretch>
      </xdr:blipFill>
      <xdr:spPr>
        <a:xfrm>
          <a:off x="114300" y="190500"/>
          <a:ext cx="1533525" cy="1514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342900</xdr:rowOff>
    </xdr:from>
    <xdr:to>
      <xdr:col>1</xdr:col>
      <xdr:colOff>1066800</xdr:colOff>
      <xdr:row>6</xdr:row>
      <xdr:rowOff>200025</xdr:rowOff>
    </xdr:to>
    <xdr:pic>
      <xdr:nvPicPr>
        <xdr:cNvPr id="1" name="Picture 2"/>
        <xdr:cNvPicPr preferRelativeResize="1">
          <a:picLocks noChangeAspect="1"/>
        </xdr:cNvPicPr>
      </xdr:nvPicPr>
      <xdr:blipFill>
        <a:blip r:embed="rId1"/>
        <a:stretch>
          <a:fillRect/>
        </a:stretch>
      </xdr:blipFill>
      <xdr:spPr>
        <a:xfrm>
          <a:off x="600075" y="762000"/>
          <a:ext cx="1085850" cy="1352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QUIVOS%20SMPU%20AP&#211;S%20F&#201;RIAS\SIRENE%20II%20-%20VILA%20NOVA\REVIS&#195;O%20MULTIPLA%2008-11-2019\Or&#231;amento%20ITENS%20NOVOS%20INC&#202;ND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QUIVOS%20SMPU%20AP&#211;S%20F&#201;RIAS\SIRENE%20II%20-%20VILA%20NOVA\REVIS&#195;O%20MULTIPLA%2008-11-2019\Or&#231;amento%20023-18_Reforma%20da%20UBS-SIRENE%20II-12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ÓRIA COMPOSIÇÕES"/>
      <sheetName val="Plan1"/>
    </sheetNames>
    <sheetDataSet>
      <sheetData sheetId="1">
        <row r="20">
          <cell r="B20" t="str">
            <v>22.685.279/0001-27</v>
          </cell>
        </row>
        <row r="25">
          <cell r="B25" t="str">
            <v>17.985.822/0001-71</v>
          </cell>
        </row>
        <row r="54">
          <cell r="H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sição de Preços  SEM Deson"/>
      <sheetName val="composição resumida"/>
      <sheetName val="Orçamento SEM Desoneração "/>
      <sheetName val="Cronograma"/>
    </sheetNames>
    <sheetDataSet>
      <sheetData sheetId="3">
        <row r="50">
          <cell r="U50">
            <v>337448.34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84"/>
  <sheetViews>
    <sheetView view="pageBreakPreview" zoomScale="90" zoomScaleNormal="90" zoomScaleSheetLayoutView="90" zoomScalePageLayoutView="0" workbookViewId="0" topLeftCell="A1">
      <selection activeCell="A33" sqref="A33:IV39"/>
    </sheetView>
  </sheetViews>
  <sheetFormatPr defaultColWidth="9.140625" defaultRowHeight="12.75"/>
  <cols>
    <col min="1" max="1" width="10.7109375" style="13" customWidth="1"/>
    <col min="2" max="2" width="24.421875" style="165" customWidth="1"/>
    <col min="3" max="3" width="102.140625" style="219" customWidth="1"/>
    <col min="4" max="4" width="9.140625" style="2" customWidth="1"/>
    <col min="5" max="5" width="12.28125" style="2" bestFit="1" customWidth="1"/>
    <col min="6" max="6" width="14.7109375" style="2" bestFit="1" customWidth="1"/>
    <col min="7" max="7" width="13.421875" style="2" bestFit="1" customWidth="1"/>
    <col min="8" max="16384" width="9.140625" style="2" customWidth="1"/>
  </cols>
  <sheetData>
    <row r="1" spans="1:7" ht="16.5" customHeight="1">
      <c r="A1" s="11"/>
      <c r="B1" s="431"/>
      <c r="C1" s="217" t="s">
        <v>11</v>
      </c>
      <c r="D1" s="5"/>
      <c r="E1" s="209" t="s">
        <v>416</v>
      </c>
      <c r="F1" s="210" t="s">
        <v>418</v>
      </c>
      <c r="G1" s="210" t="s">
        <v>417</v>
      </c>
    </row>
    <row r="2" spans="1:7" ht="16.5" customHeight="1">
      <c r="A2" s="12"/>
      <c r="B2" s="432"/>
      <c r="C2" s="218" t="s">
        <v>8</v>
      </c>
      <c r="D2" s="6"/>
      <c r="E2" s="66" t="s">
        <v>758</v>
      </c>
      <c r="F2" s="325" t="s">
        <v>1280</v>
      </c>
      <c r="G2" s="72">
        <v>43812</v>
      </c>
    </row>
    <row r="3" spans="1:7" ht="16.5" customHeight="1">
      <c r="A3" s="12"/>
      <c r="B3" s="432"/>
      <c r="C3" s="218" t="s">
        <v>9</v>
      </c>
      <c r="D3" s="6"/>
      <c r="E3" s="7"/>
      <c r="F3" s="40"/>
      <c r="G3" s="41"/>
    </row>
    <row r="4" spans="1:7" ht="16.5" customHeight="1">
      <c r="A4" s="12"/>
      <c r="B4" s="432"/>
      <c r="C4" s="655" t="s">
        <v>402</v>
      </c>
      <c r="D4" s="656"/>
      <c r="E4" s="656"/>
      <c r="F4" s="656"/>
      <c r="G4" s="657"/>
    </row>
    <row r="5" spans="1:7" ht="16.5" customHeight="1">
      <c r="A5" s="12"/>
      <c r="B5" s="432"/>
      <c r="C5" s="658" t="s">
        <v>554</v>
      </c>
      <c r="D5" s="659"/>
      <c r="E5" s="659"/>
      <c r="F5" s="659"/>
      <c r="G5" s="660"/>
    </row>
    <row r="6" spans="1:7" ht="16.5" customHeight="1">
      <c r="A6" s="12"/>
      <c r="B6" s="432"/>
      <c r="C6" s="658" t="s">
        <v>180</v>
      </c>
      <c r="D6" s="659"/>
      <c r="E6" s="659"/>
      <c r="F6" s="659"/>
      <c r="G6" s="660"/>
    </row>
    <row r="7" spans="1:7" ht="27" customHeight="1">
      <c r="A7" s="12"/>
      <c r="B7" s="432"/>
      <c r="C7" s="661" t="s">
        <v>780</v>
      </c>
      <c r="D7" s="662"/>
      <c r="E7" s="662"/>
      <c r="F7" s="662"/>
      <c r="G7" s="663"/>
    </row>
    <row r="8" spans="1:7" ht="16.5" customHeight="1">
      <c r="A8" s="12"/>
      <c r="B8" s="432"/>
      <c r="C8" s="664" t="s">
        <v>781</v>
      </c>
      <c r="D8" s="656"/>
      <c r="E8" s="656"/>
      <c r="F8" s="656"/>
      <c r="G8" s="657"/>
    </row>
    <row r="9" spans="1:7" ht="18" customHeight="1">
      <c r="A9" s="665" t="s">
        <v>759</v>
      </c>
      <c r="B9" s="666"/>
      <c r="C9" s="666"/>
      <c r="D9" s="666"/>
      <c r="E9" s="666"/>
      <c r="F9" s="666"/>
      <c r="G9" s="667"/>
    </row>
    <row r="10" spans="1:7" ht="39.75" customHeight="1">
      <c r="A10" s="115" t="s">
        <v>0</v>
      </c>
      <c r="B10" s="88" t="s">
        <v>10</v>
      </c>
      <c r="C10" s="91" t="s">
        <v>1</v>
      </c>
      <c r="D10" s="324" t="s">
        <v>2</v>
      </c>
      <c r="E10" s="324" t="s">
        <v>3</v>
      </c>
      <c r="F10" s="324" t="s">
        <v>7</v>
      </c>
      <c r="G10" s="324" t="s">
        <v>4</v>
      </c>
    </row>
    <row r="11" spans="1:7" s="52" customFormat="1" ht="15.75">
      <c r="A11" s="231"/>
      <c r="B11" s="234"/>
      <c r="C11" s="232"/>
      <c r="D11" s="233"/>
      <c r="E11" s="233"/>
      <c r="F11" s="233"/>
      <c r="G11" s="233"/>
    </row>
    <row r="12" spans="1:7" s="10" customFormat="1" ht="18.75">
      <c r="A12" s="238" t="s">
        <v>610</v>
      </c>
      <c r="B12" s="239"/>
      <c r="C12" s="240" t="s">
        <v>14</v>
      </c>
      <c r="D12" s="241"/>
      <c r="E12" s="241"/>
      <c r="F12" s="241"/>
      <c r="G12" s="241"/>
    </row>
    <row r="13" spans="1:9" s="59" customFormat="1" ht="30">
      <c r="A13" s="254" t="s">
        <v>611</v>
      </c>
      <c r="B13" s="141" t="s">
        <v>1034</v>
      </c>
      <c r="C13" s="255" t="s">
        <v>220</v>
      </c>
      <c r="D13" s="256" t="s">
        <v>15</v>
      </c>
      <c r="E13" s="256">
        <v>1</v>
      </c>
      <c r="F13" s="256">
        <f>F15</f>
        <v>337.94</v>
      </c>
      <c r="G13" s="256">
        <f>TRUNC(E13*F13,2)</f>
        <v>337.94</v>
      </c>
      <c r="I13" s="59">
        <f>TRUNC((F13*1.2247),2)</f>
        <v>413.87</v>
      </c>
    </row>
    <row r="14" spans="1:6" s="59" customFormat="1" ht="18.75">
      <c r="A14" s="61"/>
      <c r="B14" s="399" t="s">
        <v>1034</v>
      </c>
      <c r="C14" s="230" t="s">
        <v>790</v>
      </c>
      <c r="D14" s="59" t="s">
        <v>15</v>
      </c>
      <c r="F14" s="59">
        <f>TRUNC(453.6494,2)</f>
        <v>453.64</v>
      </c>
    </row>
    <row r="15" spans="1:7" s="59" customFormat="1" ht="30">
      <c r="A15" s="61"/>
      <c r="B15" s="399" t="s">
        <v>782</v>
      </c>
      <c r="C15" s="230" t="s">
        <v>783</v>
      </c>
      <c r="D15" s="59" t="s">
        <v>15</v>
      </c>
      <c r="E15" s="59">
        <v>1</v>
      </c>
      <c r="F15" s="59">
        <f>G24</f>
        <v>337.94</v>
      </c>
      <c r="G15" s="59">
        <f aca="true" t="shared" si="0" ref="G15:G23">TRUNC(E15*F15,2)</f>
        <v>337.94</v>
      </c>
    </row>
    <row r="16" spans="1:7" s="59" customFormat="1" ht="30">
      <c r="A16" s="61"/>
      <c r="B16" s="399" t="s">
        <v>41</v>
      </c>
      <c r="C16" s="230" t="s">
        <v>42</v>
      </c>
      <c r="D16" s="59" t="s">
        <v>24</v>
      </c>
      <c r="E16" s="59">
        <v>0.3</v>
      </c>
      <c r="F16" s="59">
        <f>TRUNC(8.39,2)</f>
        <v>8.39</v>
      </c>
      <c r="G16" s="59">
        <f t="shared" si="0"/>
        <v>2.51</v>
      </c>
    </row>
    <row r="17" spans="1:7" s="59" customFormat="1" ht="18.75">
      <c r="A17" s="61"/>
      <c r="B17" s="399" t="s">
        <v>43</v>
      </c>
      <c r="C17" s="230" t="s">
        <v>44</v>
      </c>
      <c r="D17" s="59" t="s">
        <v>18</v>
      </c>
      <c r="E17" s="59">
        <v>9.2</v>
      </c>
      <c r="F17" s="59">
        <f>TRUNC(3.25,2)</f>
        <v>3.25</v>
      </c>
      <c r="G17" s="59">
        <f t="shared" si="0"/>
        <v>29.9</v>
      </c>
    </row>
    <row r="18" spans="1:7" s="59" customFormat="1" ht="18.75">
      <c r="A18" s="61"/>
      <c r="B18" s="399" t="s">
        <v>45</v>
      </c>
      <c r="C18" s="230" t="s">
        <v>46</v>
      </c>
      <c r="D18" s="59" t="s">
        <v>47</v>
      </c>
      <c r="E18" s="59">
        <v>0.2</v>
      </c>
      <c r="F18" s="59">
        <f>TRUNC(61.96,2)</f>
        <v>61.96</v>
      </c>
      <c r="G18" s="59">
        <f t="shared" si="0"/>
        <v>12.39</v>
      </c>
    </row>
    <row r="19" spans="1:7" s="59" customFormat="1" ht="30">
      <c r="A19" s="61"/>
      <c r="B19" s="399" t="s">
        <v>48</v>
      </c>
      <c r="C19" s="230" t="s">
        <v>49</v>
      </c>
      <c r="D19" s="59" t="s">
        <v>24</v>
      </c>
      <c r="E19" s="59">
        <v>5</v>
      </c>
      <c r="F19" s="59">
        <f>TRUNC(7.371,2)</f>
        <v>7.37</v>
      </c>
      <c r="G19" s="59">
        <f t="shared" si="0"/>
        <v>36.85</v>
      </c>
    </row>
    <row r="20" spans="1:7" s="59" customFormat="1" ht="18.75">
      <c r="A20" s="61"/>
      <c r="B20" s="399" t="s">
        <v>50</v>
      </c>
      <c r="C20" s="230" t="s">
        <v>51</v>
      </c>
      <c r="D20" s="59" t="s">
        <v>52</v>
      </c>
      <c r="E20" s="59">
        <v>2.06</v>
      </c>
      <c r="F20" s="59">
        <f>TRUNC(14.47,2)</f>
        <v>14.47</v>
      </c>
      <c r="G20" s="59">
        <f t="shared" si="0"/>
        <v>29.8</v>
      </c>
    </row>
    <row r="21" spans="1:7" s="59" customFormat="1" ht="18.75">
      <c r="A21" s="61"/>
      <c r="B21" s="399" t="s">
        <v>784</v>
      </c>
      <c r="C21" s="230" t="s">
        <v>785</v>
      </c>
      <c r="D21" s="59" t="s">
        <v>52</v>
      </c>
      <c r="E21" s="59">
        <v>2.06</v>
      </c>
      <c r="F21" s="59">
        <f>TRUNC(21.49,2)</f>
        <v>21.49</v>
      </c>
      <c r="G21" s="59">
        <f t="shared" si="0"/>
        <v>44.26</v>
      </c>
    </row>
    <row r="22" spans="1:7" s="59" customFormat="1" ht="18.75">
      <c r="A22" s="61"/>
      <c r="B22" s="399" t="s">
        <v>786</v>
      </c>
      <c r="C22" s="230" t="s">
        <v>787</v>
      </c>
      <c r="D22" s="59" t="s">
        <v>52</v>
      </c>
      <c r="E22" s="59">
        <v>4.12</v>
      </c>
      <c r="F22" s="59">
        <f>TRUNC(19.97,2)</f>
        <v>19.97</v>
      </c>
      <c r="G22" s="59">
        <f t="shared" si="0"/>
        <v>82.27</v>
      </c>
    </row>
    <row r="23" spans="1:7" s="59" customFormat="1" ht="18.75">
      <c r="A23" s="61"/>
      <c r="B23" s="399" t="s">
        <v>788</v>
      </c>
      <c r="C23" s="230" t="s">
        <v>789</v>
      </c>
      <c r="D23" s="59" t="s">
        <v>52</v>
      </c>
      <c r="E23" s="59">
        <v>1</v>
      </c>
      <c r="F23" s="59">
        <f>TRUNC(99.9617,2)</f>
        <v>99.96</v>
      </c>
      <c r="G23" s="59">
        <f t="shared" si="0"/>
        <v>99.96</v>
      </c>
    </row>
    <row r="24" spans="1:7" s="59" customFormat="1" ht="18.75">
      <c r="A24" s="61"/>
      <c r="B24" s="399"/>
      <c r="C24" s="230"/>
      <c r="E24" s="59" t="s">
        <v>53</v>
      </c>
      <c r="G24" s="59">
        <f>TRUNC(SUM(G16:G23),2)</f>
        <v>337.94</v>
      </c>
    </row>
    <row r="25" spans="1:9" s="59" customFormat="1" ht="60">
      <c r="A25" s="254" t="s">
        <v>1261</v>
      </c>
      <c r="B25" s="141" t="s">
        <v>1262</v>
      </c>
      <c r="C25" s="255" t="s">
        <v>1263</v>
      </c>
      <c r="D25" s="256" t="s">
        <v>15</v>
      </c>
      <c r="E25" s="256">
        <v>1</v>
      </c>
      <c r="F25" s="256">
        <f>F26</f>
        <v>26.1</v>
      </c>
      <c r="G25" s="256">
        <f aca="true" t="shared" si="1" ref="G25:G31">TRUNC(E25*F25,2)</f>
        <v>26.1</v>
      </c>
      <c r="I25" s="59">
        <f>TRUNC((F25*1.2247),2)</f>
        <v>31.96</v>
      </c>
    </row>
    <row r="26" spans="1:7" s="59" customFormat="1" ht="60">
      <c r="A26" s="61"/>
      <c r="B26" s="399" t="s">
        <v>1262</v>
      </c>
      <c r="C26" s="230" t="s">
        <v>1263</v>
      </c>
      <c r="D26" s="59" t="s">
        <v>15</v>
      </c>
      <c r="E26" s="59">
        <v>1</v>
      </c>
      <c r="F26" s="59">
        <f>G32</f>
        <v>26.1</v>
      </c>
      <c r="G26" s="59">
        <f t="shared" si="1"/>
        <v>26.1</v>
      </c>
    </row>
    <row r="27" spans="1:7" s="59" customFormat="1" ht="18.75">
      <c r="A27" s="61"/>
      <c r="B27" s="399" t="s">
        <v>1264</v>
      </c>
      <c r="C27" s="230" t="s">
        <v>1265</v>
      </c>
      <c r="D27" s="59" t="s">
        <v>15</v>
      </c>
      <c r="E27" s="59">
        <v>0.525</v>
      </c>
      <c r="F27" s="59">
        <f>TRUNC(29.89,2)</f>
        <v>29.89</v>
      </c>
      <c r="G27" s="59">
        <f t="shared" si="1"/>
        <v>15.69</v>
      </c>
    </row>
    <row r="28" spans="1:7" s="59" customFormat="1" ht="30">
      <c r="A28" s="61"/>
      <c r="B28" s="399" t="s">
        <v>41</v>
      </c>
      <c r="C28" s="230" t="s">
        <v>42</v>
      </c>
      <c r="D28" s="59" t="s">
        <v>24</v>
      </c>
      <c r="E28" s="59">
        <v>0.05</v>
      </c>
      <c r="F28" s="59">
        <f>TRUNC(8.39,2)</f>
        <v>8.39</v>
      </c>
      <c r="G28" s="59">
        <f t="shared" si="1"/>
        <v>0.41</v>
      </c>
    </row>
    <row r="29" spans="1:7" s="59" customFormat="1" ht="18.75">
      <c r="A29" s="61"/>
      <c r="B29" s="399" t="s">
        <v>43</v>
      </c>
      <c r="C29" s="230" t="s">
        <v>44</v>
      </c>
      <c r="D29" s="59" t="s">
        <v>18</v>
      </c>
      <c r="E29" s="59">
        <v>0.8</v>
      </c>
      <c r="F29" s="59">
        <f>TRUNC(3.25,2)</f>
        <v>3.25</v>
      </c>
      <c r="G29" s="59">
        <f t="shared" si="1"/>
        <v>2.6</v>
      </c>
    </row>
    <row r="30" spans="1:7" s="59" customFormat="1" ht="18.75">
      <c r="A30" s="61"/>
      <c r="B30" s="399" t="s">
        <v>50</v>
      </c>
      <c r="C30" s="230" t="s">
        <v>51</v>
      </c>
      <c r="D30" s="59" t="s">
        <v>52</v>
      </c>
      <c r="E30" s="59">
        <v>0.20600000000000002</v>
      </c>
      <c r="F30" s="59">
        <f>TRUNC(14.47,2)</f>
        <v>14.47</v>
      </c>
      <c r="G30" s="59">
        <f t="shared" si="1"/>
        <v>2.98</v>
      </c>
    </row>
    <row r="31" spans="1:7" s="59" customFormat="1" ht="18.75">
      <c r="A31" s="61"/>
      <c r="B31" s="399" t="s">
        <v>784</v>
      </c>
      <c r="C31" s="230" t="s">
        <v>785</v>
      </c>
      <c r="D31" s="59" t="s">
        <v>52</v>
      </c>
      <c r="E31" s="59">
        <v>0.20600000000000002</v>
      </c>
      <c r="F31" s="59">
        <f>TRUNC(21.49,2)</f>
        <v>21.49</v>
      </c>
      <c r="G31" s="59">
        <f t="shared" si="1"/>
        <v>4.42</v>
      </c>
    </row>
    <row r="32" spans="1:7" s="59" customFormat="1" ht="18.75">
      <c r="A32" s="61"/>
      <c r="B32" s="399"/>
      <c r="C32" s="230"/>
      <c r="E32" s="59" t="s">
        <v>53</v>
      </c>
      <c r="G32" s="59">
        <f>TRUNC(SUM(G27:G31),2)</f>
        <v>26.1</v>
      </c>
    </row>
    <row r="33" spans="1:7" s="10" customFormat="1" ht="18.75">
      <c r="A33" s="243" t="s">
        <v>612</v>
      </c>
      <c r="B33" s="348"/>
      <c r="C33" s="244" t="s">
        <v>23</v>
      </c>
      <c r="D33" s="241"/>
      <c r="E33" s="241"/>
      <c r="F33" s="241"/>
      <c r="G33" s="241"/>
    </row>
    <row r="34" spans="1:9" s="10" customFormat="1" ht="18.75">
      <c r="A34" s="28" t="s">
        <v>613</v>
      </c>
      <c r="B34" s="97" t="s">
        <v>791</v>
      </c>
      <c r="C34" s="278" t="s">
        <v>245</v>
      </c>
      <c r="D34" s="15" t="s">
        <v>15</v>
      </c>
      <c r="E34" s="15">
        <v>1</v>
      </c>
      <c r="F34" s="15">
        <f>F35</f>
        <v>1.69</v>
      </c>
      <c r="G34" s="15">
        <f>TRUNC(E34*F34,2)</f>
        <v>1.69</v>
      </c>
      <c r="I34" s="59">
        <f>TRUNC((F34*1.2882),2)</f>
        <v>2.17</v>
      </c>
    </row>
    <row r="35" spans="1:9" s="10" customFormat="1" ht="18.75">
      <c r="A35" s="25"/>
      <c r="B35" s="111" t="s">
        <v>791</v>
      </c>
      <c r="C35" s="221" t="s">
        <v>245</v>
      </c>
      <c r="D35" s="10" t="s">
        <v>15</v>
      </c>
      <c r="E35" s="10">
        <v>1</v>
      </c>
      <c r="F35" s="10">
        <f>G37</f>
        <v>1.69</v>
      </c>
      <c r="G35" s="10">
        <f>TRUNC(E35*F35,2)</f>
        <v>1.69</v>
      </c>
      <c r="I35" s="59"/>
    </row>
    <row r="36" spans="1:9" s="10" customFormat="1" ht="18.75">
      <c r="A36" s="25"/>
      <c r="B36" s="111" t="s">
        <v>54</v>
      </c>
      <c r="C36" s="221" t="s">
        <v>55</v>
      </c>
      <c r="D36" s="10" t="s">
        <v>52</v>
      </c>
      <c r="E36" s="10">
        <v>0.08</v>
      </c>
      <c r="F36" s="10">
        <f>TRUNC(21.24,2)</f>
        <v>21.24</v>
      </c>
      <c r="G36" s="10">
        <f>TRUNC(E36*F36,2)</f>
        <v>1.69</v>
      </c>
      <c r="I36" s="59"/>
    </row>
    <row r="37" spans="1:9" s="10" customFormat="1" ht="18.75">
      <c r="A37" s="25"/>
      <c r="B37" s="111"/>
      <c r="C37" s="221"/>
      <c r="E37" s="10" t="s">
        <v>53</v>
      </c>
      <c r="G37" s="10">
        <f>TRUNC(SUM(G36:G36),2)</f>
        <v>1.69</v>
      </c>
      <c r="I37" s="59"/>
    </row>
    <row r="38" spans="1:9" s="10" customFormat="1" ht="30">
      <c r="A38" s="28" t="s">
        <v>614</v>
      </c>
      <c r="B38" s="97" t="s">
        <v>792</v>
      </c>
      <c r="C38" s="278" t="s">
        <v>570</v>
      </c>
      <c r="D38" s="15" t="s">
        <v>19</v>
      </c>
      <c r="E38" s="15">
        <v>1</v>
      </c>
      <c r="F38" s="15">
        <f>F39</f>
        <v>203.52</v>
      </c>
      <c r="G38" s="15">
        <f>TRUNC(E38*F38,2)</f>
        <v>203.52</v>
      </c>
      <c r="I38" s="59">
        <f>TRUNC((F38*1.2882),2)</f>
        <v>262.17</v>
      </c>
    </row>
    <row r="39" spans="1:9" s="10" customFormat="1" ht="30">
      <c r="A39" s="25"/>
      <c r="B39" s="111" t="s">
        <v>792</v>
      </c>
      <c r="C39" s="221" t="s">
        <v>793</v>
      </c>
      <c r="D39" s="10" t="s">
        <v>19</v>
      </c>
      <c r="E39" s="10">
        <v>1</v>
      </c>
      <c r="F39" s="10">
        <f>G42</f>
        <v>203.52</v>
      </c>
      <c r="G39" s="10">
        <f>TRUNC(E39*F39,2)</f>
        <v>203.52</v>
      </c>
      <c r="I39" s="59"/>
    </row>
    <row r="40" spans="1:9" s="10" customFormat="1" ht="18.75">
      <c r="A40" s="25"/>
      <c r="B40" s="111" t="s">
        <v>50</v>
      </c>
      <c r="C40" s="221" t="s">
        <v>51</v>
      </c>
      <c r="D40" s="10" t="s">
        <v>52</v>
      </c>
      <c r="E40" s="10">
        <v>12.36</v>
      </c>
      <c r="F40" s="10">
        <f>TRUNC(14.47,2)</f>
        <v>14.47</v>
      </c>
      <c r="G40" s="10">
        <f>TRUNC(E40*F40,2)</f>
        <v>178.84</v>
      </c>
      <c r="I40" s="59"/>
    </row>
    <row r="41" spans="1:9" s="10" customFormat="1" ht="18.75">
      <c r="A41" s="25"/>
      <c r="B41" s="111" t="s">
        <v>794</v>
      </c>
      <c r="C41" s="221" t="s">
        <v>795</v>
      </c>
      <c r="D41" s="10" t="s">
        <v>52</v>
      </c>
      <c r="E41" s="10">
        <v>1.236</v>
      </c>
      <c r="F41" s="10">
        <f>TRUNC(19.97,2)</f>
        <v>19.97</v>
      </c>
      <c r="G41" s="10">
        <f>TRUNC(E41*F41,2)</f>
        <v>24.68</v>
      </c>
      <c r="I41" s="59"/>
    </row>
    <row r="42" spans="1:9" s="10" customFormat="1" ht="18.75">
      <c r="A42" s="25"/>
      <c r="B42" s="111"/>
      <c r="C42" s="221"/>
      <c r="E42" s="10" t="s">
        <v>53</v>
      </c>
      <c r="G42" s="10">
        <f>TRUNC(SUM(G40:G41),2)</f>
        <v>203.52</v>
      </c>
      <c r="I42" s="59"/>
    </row>
    <row r="43" spans="1:7" s="10" customFormat="1" ht="18.75">
      <c r="A43" s="28" t="s">
        <v>615</v>
      </c>
      <c r="B43" s="97" t="s">
        <v>796</v>
      </c>
      <c r="C43" s="278" t="s">
        <v>457</v>
      </c>
      <c r="D43" s="15" t="s">
        <v>19</v>
      </c>
      <c r="E43" s="15">
        <v>1</v>
      </c>
      <c r="F43" s="15">
        <f>F44</f>
        <v>50.94</v>
      </c>
      <c r="G43" s="15">
        <f>TRUNC(E43*F43,2)</f>
        <v>50.94</v>
      </c>
    </row>
    <row r="44" spans="1:7" s="10" customFormat="1" ht="18.75">
      <c r="A44" s="25"/>
      <c r="B44" s="111" t="s">
        <v>796</v>
      </c>
      <c r="C44" s="221" t="s">
        <v>457</v>
      </c>
      <c r="D44" s="10" t="s">
        <v>19</v>
      </c>
      <c r="E44" s="10">
        <v>1</v>
      </c>
      <c r="F44" s="10">
        <f>G46</f>
        <v>50.94</v>
      </c>
      <c r="G44" s="10">
        <f>TRUNC(E44*F44,2)</f>
        <v>50.94</v>
      </c>
    </row>
    <row r="45" spans="1:7" s="10" customFormat="1" ht="18.75">
      <c r="A45" s="25"/>
      <c r="B45" s="111" t="s">
        <v>54</v>
      </c>
      <c r="C45" s="221" t="s">
        <v>55</v>
      </c>
      <c r="D45" s="10" t="s">
        <v>52</v>
      </c>
      <c r="E45" s="10">
        <v>2.3986</v>
      </c>
      <c r="F45" s="10">
        <f>TRUNC(21.24,2)</f>
        <v>21.24</v>
      </c>
      <c r="G45" s="10">
        <f>TRUNC(E45*F45,2)</f>
        <v>50.94</v>
      </c>
    </row>
    <row r="46" spans="1:7" s="10" customFormat="1" ht="18.75">
      <c r="A46" s="25"/>
      <c r="B46" s="111"/>
      <c r="C46" s="221"/>
      <c r="E46" s="10" t="s">
        <v>53</v>
      </c>
      <c r="G46" s="10">
        <f>TRUNC(SUM(G45:G45),2)</f>
        <v>50.94</v>
      </c>
    </row>
    <row r="47" spans="1:7" s="10" customFormat="1" ht="60">
      <c r="A47" s="28" t="s">
        <v>616</v>
      </c>
      <c r="B47" s="97" t="s">
        <v>1266</v>
      </c>
      <c r="C47" s="278" t="s">
        <v>1267</v>
      </c>
      <c r="D47" s="15" t="s">
        <v>21</v>
      </c>
      <c r="E47" s="15">
        <v>1</v>
      </c>
      <c r="F47" s="15">
        <f>F48</f>
        <v>238.94</v>
      </c>
      <c r="G47" s="15">
        <f>TRUNC(E47*F47,2)</f>
        <v>238.94</v>
      </c>
    </row>
    <row r="48" spans="1:7" s="10" customFormat="1" ht="60">
      <c r="A48" s="25"/>
      <c r="B48" s="111" t="s">
        <v>1266</v>
      </c>
      <c r="C48" s="221" t="s">
        <v>1267</v>
      </c>
      <c r="D48" s="10" t="s">
        <v>21</v>
      </c>
      <c r="E48" s="10">
        <v>1</v>
      </c>
      <c r="F48" s="10">
        <f>G51</f>
        <v>238.94</v>
      </c>
      <c r="G48" s="10">
        <f>TRUNC(E48*F48,2)</f>
        <v>238.94</v>
      </c>
    </row>
    <row r="49" spans="1:7" s="10" customFormat="1" ht="18.75">
      <c r="A49" s="25"/>
      <c r="B49" s="111" t="s">
        <v>50</v>
      </c>
      <c r="C49" s="221" t="s">
        <v>51</v>
      </c>
      <c r="D49" s="10" t="s">
        <v>52</v>
      </c>
      <c r="E49" s="10">
        <v>0.618</v>
      </c>
      <c r="F49" s="10">
        <f>TRUNC(14.47,2)</f>
        <v>14.47</v>
      </c>
      <c r="G49" s="10">
        <f>TRUNC(E49*F49,2)</f>
        <v>8.94</v>
      </c>
    </row>
    <row r="50" spans="1:7" s="10" customFormat="1" ht="30">
      <c r="A50" s="25"/>
      <c r="B50" s="111" t="s">
        <v>1268</v>
      </c>
      <c r="C50" s="221" t="s">
        <v>1269</v>
      </c>
      <c r="D50" s="10" t="s">
        <v>21</v>
      </c>
      <c r="E50" s="10">
        <v>1</v>
      </c>
      <c r="F50" s="10">
        <f>TRUNC(230,2)</f>
        <v>230</v>
      </c>
      <c r="G50" s="10">
        <f>TRUNC(E50*F50,2)</f>
        <v>230</v>
      </c>
    </row>
    <row r="51" spans="1:7" s="10" customFormat="1" ht="18.75">
      <c r="A51" s="25"/>
      <c r="B51" s="111"/>
      <c r="C51" s="221"/>
      <c r="E51" s="10" t="s">
        <v>53</v>
      </c>
      <c r="G51" s="10">
        <f>TRUNC(SUM(G49:G50),2)</f>
        <v>238.94</v>
      </c>
    </row>
    <row r="52" spans="1:7" s="10" customFormat="1" ht="18.75">
      <c r="A52" s="238" t="s">
        <v>617</v>
      </c>
      <c r="B52" s="239"/>
      <c r="C52" s="240" t="s">
        <v>17</v>
      </c>
      <c r="D52" s="241"/>
      <c r="E52" s="241"/>
      <c r="F52" s="241"/>
      <c r="G52" s="241"/>
    </row>
    <row r="53" spans="1:7" s="10" customFormat="1" ht="45">
      <c r="A53" s="236" t="s">
        <v>618</v>
      </c>
      <c r="B53" s="114" t="s">
        <v>798</v>
      </c>
      <c r="C53" s="277" t="s">
        <v>381</v>
      </c>
      <c r="D53" s="15" t="s">
        <v>15</v>
      </c>
      <c r="E53" s="15">
        <v>1</v>
      </c>
      <c r="F53" s="15">
        <f>F54</f>
        <v>14.54</v>
      </c>
      <c r="G53" s="15">
        <f>TRUNC(E53*F53,2)</f>
        <v>14.54</v>
      </c>
    </row>
    <row r="54" spans="1:7" s="10" customFormat="1" ht="45">
      <c r="A54" s="16"/>
      <c r="B54" s="371" t="s">
        <v>797</v>
      </c>
      <c r="C54" s="57" t="s">
        <v>779</v>
      </c>
      <c r="D54" s="10" t="s">
        <v>15</v>
      </c>
      <c r="E54" s="10">
        <v>1</v>
      </c>
      <c r="F54" s="10">
        <f>G57</f>
        <v>14.54</v>
      </c>
      <c r="G54" s="10">
        <f>TRUNC(E54*F54,2)</f>
        <v>14.54</v>
      </c>
    </row>
    <row r="55" spans="1:7" s="10" customFormat="1" ht="18.75">
      <c r="A55" s="16"/>
      <c r="B55" s="371" t="s">
        <v>50</v>
      </c>
      <c r="C55" s="57" t="s">
        <v>51</v>
      </c>
      <c r="D55" s="10" t="s">
        <v>52</v>
      </c>
      <c r="E55" s="10">
        <v>0.721</v>
      </c>
      <c r="F55" s="10">
        <f>TRUNC(14.47,2)</f>
        <v>14.47</v>
      </c>
      <c r="G55" s="10">
        <f>TRUNC(E55*F55,2)</f>
        <v>10.43</v>
      </c>
    </row>
    <row r="56" spans="1:7" s="10" customFormat="1" ht="18.75">
      <c r="A56" s="16"/>
      <c r="B56" s="371" t="s">
        <v>794</v>
      </c>
      <c r="C56" s="57" t="s">
        <v>795</v>
      </c>
      <c r="D56" s="10" t="s">
        <v>52</v>
      </c>
      <c r="E56" s="10">
        <v>0.20600000000000002</v>
      </c>
      <c r="F56" s="10">
        <f>TRUNC(19.97,2)</f>
        <v>19.97</v>
      </c>
      <c r="G56" s="10">
        <f>TRUNC(E56*F56,2)</f>
        <v>4.11</v>
      </c>
    </row>
    <row r="57" spans="1:7" s="10" customFormat="1" ht="18.75">
      <c r="A57" s="16"/>
      <c r="B57" s="371"/>
      <c r="C57" s="57"/>
      <c r="E57" s="10" t="s">
        <v>53</v>
      </c>
      <c r="G57" s="10">
        <f>TRUNC(SUM(G55:G56),2)</f>
        <v>14.54</v>
      </c>
    </row>
    <row r="58" spans="1:7" s="10" customFormat="1" ht="30">
      <c r="A58" s="28" t="s">
        <v>619</v>
      </c>
      <c r="B58" s="97" t="s">
        <v>799</v>
      </c>
      <c r="C58" s="278" t="s">
        <v>182</v>
      </c>
      <c r="D58" s="15" t="s">
        <v>19</v>
      </c>
      <c r="E58" s="15">
        <v>1</v>
      </c>
      <c r="F58" s="15">
        <f>F59</f>
        <v>55.43</v>
      </c>
      <c r="G58" s="15">
        <f>TRUNC(E58*F58,2)</f>
        <v>55.43</v>
      </c>
    </row>
    <row r="59" spans="1:7" s="10" customFormat="1" ht="30">
      <c r="A59" s="25"/>
      <c r="B59" s="111" t="s">
        <v>799</v>
      </c>
      <c r="C59" s="221" t="s">
        <v>182</v>
      </c>
      <c r="D59" s="10" t="s">
        <v>19</v>
      </c>
      <c r="E59" s="10">
        <v>1</v>
      </c>
      <c r="F59" s="10">
        <f>G62</f>
        <v>55.43</v>
      </c>
      <c r="G59" s="10">
        <f>TRUNC(E59*F59,2)</f>
        <v>55.43</v>
      </c>
    </row>
    <row r="60" spans="1:7" s="10" customFormat="1" ht="18.75">
      <c r="A60" s="25"/>
      <c r="B60" s="111" t="s">
        <v>54</v>
      </c>
      <c r="C60" s="221" t="s">
        <v>55</v>
      </c>
      <c r="D60" s="10" t="s">
        <v>52</v>
      </c>
      <c r="E60" s="10">
        <v>2.3248</v>
      </c>
      <c r="F60" s="10">
        <f>TRUNC(21.24,2)</f>
        <v>21.24</v>
      </c>
      <c r="G60" s="10">
        <f>TRUNC(E60*F60,2)</f>
        <v>49.37</v>
      </c>
    </row>
    <row r="61" spans="1:7" s="10" customFormat="1" ht="18.75">
      <c r="A61" s="25"/>
      <c r="B61" s="111" t="s">
        <v>118</v>
      </c>
      <c r="C61" s="221" t="s">
        <v>119</v>
      </c>
      <c r="D61" s="10" t="s">
        <v>52</v>
      </c>
      <c r="E61" s="10">
        <v>0.225</v>
      </c>
      <c r="F61" s="10">
        <f>TRUNC(26.95,2)</f>
        <v>26.95</v>
      </c>
      <c r="G61" s="10">
        <f>TRUNC(E61*F61,2)</f>
        <v>6.06</v>
      </c>
    </row>
    <row r="62" spans="1:7" s="10" customFormat="1" ht="18.75">
      <c r="A62" s="25"/>
      <c r="B62" s="111"/>
      <c r="C62" s="221"/>
      <c r="E62" s="10" t="s">
        <v>53</v>
      </c>
      <c r="G62" s="10">
        <f>TRUNC(SUM(G60:G61),2)</f>
        <v>55.43</v>
      </c>
    </row>
    <row r="63" spans="1:7" s="10" customFormat="1" ht="30">
      <c r="A63" s="28" t="s">
        <v>620</v>
      </c>
      <c r="B63" s="97" t="s">
        <v>802</v>
      </c>
      <c r="C63" s="278" t="s">
        <v>223</v>
      </c>
      <c r="D63" s="15" t="s">
        <v>19</v>
      </c>
      <c r="E63" s="15">
        <v>1</v>
      </c>
      <c r="F63" s="15">
        <f>F64</f>
        <v>574.45</v>
      </c>
      <c r="G63" s="15">
        <f>TRUNC(E63*F63,2)</f>
        <v>574.45</v>
      </c>
    </row>
    <row r="64" spans="1:7" s="10" customFormat="1" ht="30">
      <c r="A64" s="25"/>
      <c r="B64" s="111" t="s">
        <v>800</v>
      </c>
      <c r="C64" s="221" t="s">
        <v>223</v>
      </c>
      <c r="D64" s="10" t="s">
        <v>19</v>
      </c>
      <c r="E64" s="10">
        <v>1</v>
      </c>
      <c r="F64" s="10">
        <f>G68</f>
        <v>574.45</v>
      </c>
      <c r="G64" s="10">
        <f>TRUNC(E64*F64,2)</f>
        <v>574.45</v>
      </c>
    </row>
    <row r="65" spans="1:7" s="10" customFormat="1" ht="30">
      <c r="A65" s="25"/>
      <c r="B65" s="111" t="s">
        <v>801</v>
      </c>
      <c r="C65" s="221" t="s">
        <v>557</v>
      </c>
      <c r="D65" s="10" t="s">
        <v>24</v>
      </c>
      <c r="E65" s="10">
        <v>0.2835</v>
      </c>
      <c r="F65" s="10">
        <f>TRUNC(10.04,2)</f>
        <v>10.04</v>
      </c>
      <c r="G65" s="10">
        <f>TRUNC(E65*F65,2)</f>
        <v>2.84</v>
      </c>
    </row>
    <row r="66" spans="1:7" s="10" customFormat="1" ht="18.75">
      <c r="A66" s="25"/>
      <c r="B66" s="111" t="s">
        <v>54</v>
      </c>
      <c r="C66" s="221" t="s">
        <v>55</v>
      </c>
      <c r="D66" s="10" t="s">
        <v>52</v>
      </c>
      <c r="E66" s="10">
        <v>23.9693</v>
      </c>
      <c r="F66" s="10">
        <f>TRUNC(21.24,2)</f>
        <v>21.24</v>
      </c>
      <c r="G66" s="10">
        <f>TRUNC(E66*F66,2)</f>
        <v>509.1</v>
      </c>
    </row>
    <row r="67" spans="1:7" s="10" customFormat="1" ht="18.75">
      <c r="A67" s="25"/>
      <c r="B67" s="111" t="s">
        <v>118</v>
      </c>
      <c r="C67" s="221" t="s">
        <v>119</v>
      </c>
      <c r="D67" s="10" t="s">
        <v>52</v>
      </c>
      <c r="E67" s="10">
        <v>2.3196</v>
      </c>
      <c r="F67" s="10">
        <f>TRUNC(26.95,2)</f>
        <v>26.95</v>
      </c>
      <c r="G67" s="10">
        <f>TRUNC(E67*F67,2)</f>
        <v>62.51</v>
      </c>
    </row>
    <row r="68" spans="1:7" s="10" customFormat="1" ht="18.75">
      <c r="A68" s="25"/>
      <c r="B68" s="111"/>
      <c r="C68" s="221"/>
      <c r="E68" s="10" t="s">
        <v>53</v>
      </c>
      <c r="G68" s="10">
        <f>TRUNC(SUM(G65:G67),2)</f>
        <v>574.45</v>
      </c>
    </row>
    <row r="69" spans="1:7" s="10" customFormat="1" ht="30">
      <c r="A69" s="28" t="s">
        <v>621</v>
      </c>
      <c r="B69" s="97" t="s">
        <v>792</v>
      </c>
      <c r="C69" s="278" t="s">
        <v>570</v>
      </c>
      <c r="D69" s="15" t="s">
        <v>19</v>
      </c>
      <c r="E69" s="15">
        <v>1</v>
      </c>
      <c r="F69" s="15">
        <f>F70</f>
        <v>203.52</v>
      </c>
      <c r="G69" s="15">
        <f>TRUNC(E69*F69,2)</f>
        <v>203.52</v>
      </c>
    </row>
    <row r="70" spans="1:9" s="10" customFormat="1" ht="30">
      <c r="A70" s="25"/>
      <c r="B70" s="111" t="s">
        <v>792</v>
      </c>
      <c r="C70" s="221" t="s">
        <v>793</v>
      </c>
      <c r="D70" s="10" t="s">
        <v>19</v>
      </c>
      <c r="E70" s="10">
        <v>1</v>
      </c>
      <c r="F70" s="10">
        <f>G73</f>
        <v>203.52</v>
      </c>
      <c r="G70" s="10">
        <f>TRUNC(E70*F70,2)</f>
        <v>203.52</v>
      </c>
      <c r="I70" s="59"/>
    </row>
    <row r="71" spans="1:9" s="10" customFormat="1" ht="18.75">
      <c r="A71" s="25"/>
      <c r="B71" s="111" t="s">
        <v>50</v>
      </c>
      <c r="C71" s="221" t="s">
        <v>51</v>
      </c>
      <c r="D71" s="10" t="s">
        <v>52</v>
      </c>
      <c r="E71" s="10">
        <v>12.36</v>
      </c>
      <c r="F71" s="10">
        <f>TRUNC(14.47,2)</f>
        <v>14.47</v>
      </c>
      <c r="G71" s="10">
        <f>TRUNC(E71*F71,2)</f>
        <v>178.84</v>
      </c>
      <c r="I71" s="59"/>
    </row>
    <row r="72" spans="1:9" s="10" customFormat="1" ht="18.75">
      <c r="A72" s="25"/>
      <c r="B72" s="111" t="s">
        <v>794</v>
      </c>
      <c r="C72" s="221" t="s">
        <v>795</v>
      </c>
      <c r="D72" s="10" t="s">
        <v>52</v>
      </c>
      <c r="E72" s="10">
        <v>1.236</v>
      </c>
      <c r="F72" s="10">
        <f>TRUNC(19.97,2)</f>
        <v>19.97</v>
      </c>
      <c r="G72" s="10">
        <f>TRUNC(E72*F72,2)</f>
        <v>24.68</v>
      </c>
      <c r="I72" s="59"/>
    </row>
    <row r="73" spans="1:9" s="10" customFormat="1" ht="18.75">
      <c r="A73" s="25"/>
      <c r="B73" s="111"/>
      <c r="C73" s="221"/>
      <c r="E73" s="10" t="s">
        <v>53</v>
      </c>
      <c r="G73" s="10">
        <f>TRUNC(SUM(G71:G72),2)</f>
        <v>203.52</v>
      </c>
      <c r="I73" s="59"/>
    </row>
    <row r="74" spans="1:7" s="10" customFormat="1" ht="30">
      <c r="A74" s="28" t="s">
        <v>622</v>
      </c>
      <c r="B74" s="109" t="s">
        <v>806</v>
      </c>
      <c r="C74" s="278" t="s">
        <v>183</v>
      </c>
      <c r="D74" s="15" t="s">
        <v>15</v>
      </c>
      <c r="E74" s="15">
        <v>1</v>
      </c>
      <c r="F74" s="15">
        <f>F75</f>
        <v>22.52</v>
      </c>
      <c r="G74" s="15">
        <f>TRUNC(E74*F74,2)</f>
        <v>22.52</v>
      </c>
    </row>
    <row r="75" spans="1:7" s="10" customFormat="1" ht="30">
      <c r="A75" s="25"/>
      <c r="B75" s="111" t="s">
        <v>803</v>
      </c>
      <c r="C75" s="221" t="s">
        <v>804</v>
      </c>
      <c r="D75" s="18" t="s">
        <v>15</v>
      </c>
      <c r="E75" s="18">
        <v>1</v>
      </c>
      <c r="F75" s="18">
        <f>G78</f>
        <v>22.52</v>
      </c>
      <c r="G75" s="18">
        <f>TRUNC(E75*F75,2)</f>
        <v>22.52</v>
      </c>
    </row>
    <row r="76" spans="1:7" s="10" customFormat="1" ht="18.75">
      <c r="A76" s="25"/>
      <c r="B76" s="111" t="s">
        <v>54</v>
      </c>
      <c r="C76" s="221" t="s">
        <v>55</v>
      </c>
      <c r="D76" s="18" t="s">
        <v>52</v>
      </c>
      <c r="E76" s="18">
        <v>0.7195</v>
      </c>
      <c r="F76" s="18">
        <f>TRUNC(21.24,2)</f>
        <v>21.24</v>
      </c>
      <c r="G76" s="18">
        <f>TRUNC(E76*F76,2)</f>
        <v>15.28</v>
      </c>
    </row>
    <row r="77" spans="1:7" s="10" customFormat="1" ht="18.75">
      <c r="A77" s="25"/>
      <c r="B77" s="111" t="s">
        <v>805</v>
      </c>
      <c r="C77" s="221" t="s">
        <v>181</v>
      </c>
      <c r="D77" s="18" t="s">
        <v>52</v>
      </c>
      <c r="E77" s="18">
        <v>0.2553</v>
      </c>
      <c r="F77" s="18">
        <f>TRUNC(28.36,2)</f>
        <v>28.36</v>
      </c>
      <c r="G77" s="18">
        <f>TRUNC(E77*F77,2)</f>
        <v>7.24</v>
      </c>
    </row>
    <row r="78" spans="1:7" s="10" customFormat="1" ht="18.75">
      <c r="A78" s="25"/>
      <c r="B78" s="111"/>
      <c r="C78" s="221"/>
      <c r="D78" s="18"/>
      <c r="E78" s="18" t="s">
        <v>53</v>
      </c>
      <c r="F78" s="18"/>
      <c r="G78" s="18">
        <f>TRUNC(SUM(G76:G77),2)</f>
        <v>22.52</v>
      </c>
    </row>
    <row r="79" spans="1:7" s="10" customFormat="1" ht="18.75">
      <c r="A79" s="28" t="s">
        <v>623</v>
      </c>
      <c r="B79" s="97" t="s">
        <v>246</v>
      </c>
      <c r="C79" s="278" t="s">
        <v>247</v>
      </c>
      <c r="D79" s="247" t="s">
        <v>15</v>
      </c>
      <c r="E79" s="247">
        <v>1</v>
      </c>
      <c r="F79" s="247">
        <f>F80</f>
        <v>3.23</v>
      </c>
      <c r="G79" s="247">
        <f>TRUNC(E79*F79,2)</f>
        <v>3.23</v>
      </c>
    </row>
    <row r="80" spans="1:7" s="10" customFormat="1" ht="18.75">
      <c r="A80" s="25"/>
      <c r="B80" s="111" t="s">
        <v>246</v>
      </c>
      <c r="C80" s="221" t="s">
        <v>247</v>
      </c>
      <c r="D80" s="18" t="s">
        <v>15</v>
      </c>
      <c r="E80" s="18">
        <v>1</v>
      </c>
      <c r="F80" s="18">
        <f>G83</f>
        <v>3.23</v>
      </c>
      <c r="G80" s="18">
        <f>TRUNC(E80*F80,2)</f>
        <v>3.23</v>
      </c>
    </row>
    <row r="81" spans="1:7" s="10" customFormat="1" ht="18.75">
      <c r="A81" s="25"/>
      <c r="B81" s="111" t="s">
        <v>54</v>
      </c>
      <c r="C81" s="221" t="s">
        <v>55</v>
      </c>
      <c r="D81" s="18" t="s">
        <v>52</v>
      </c>
      <c r="E81" s="18">
        <v>0.1053</v>
      </c>
      <c r="F81" s="18">
        <f>TRUNC(21.24,2)</f>
        <v>21.24</v>
      </c>
      <c r="G81" s="18">
        <f>TRUNC(E81*F81,2)</f>
        <v>2.23</v>
      </c>
    </row>
    <row r="82" spans="1:7" s="10" customFormat="1" ht="18.75">
      <c r="A82" s="25"/>
      <c r="B82" s="111" t="s">
        <v>118</v>
      </c>
      <c r="C82" s="221" t="s">
        <v>119</v>
      </c>
      <c r="D82" s="18" t="s">
        <v>52</v>
      </c>
      <c r="E82" s="18">
        <v>0.0374</v>
      </c>
      <c r="F82" s="18">
        <f>TRUNC(26.95,2)</f>
        <v>26.95</v>
      </c>
      <c r="G82" s="18">
        <f>TRUNC(E82*F82,2)</f>
        <v>1</v>
      </c>
    </row>
    <row r="83" spans="1:7" s="10" customFormat="1" ht="18.75">
      <c r="A83" s="25"/>
      <c r="B83" s="111"/>
      <c r="C83" s="221"/>
      <c r="D83" s="18"/>
      <c r="E83" s="18" t="s">
        <v>53</v>
      </c>
      <c r="F83" s="18"/>
      <c r="G83" s="18">
        <f>TRUNC(SUM(G81:G82),2)</f>
        <v>3.23</v>
      </c>
    </row>
    <row r="84" spans="1:7" s="59" customFormat="1" ht="41.25" customHeight="1">
      <c r="A84" s="254" t="s">
        <v>624</v>
      </c>
      <c r="B84" s="141" t="s">
        <v>807</v>
      </c>
      <c r="C84" s="255" t="s">
        <v>419</v>
      </c>
      <c r="D84" s="250" t="s">
        <v>15</v>
      </c>
      <c r="E84" s="250">
        <v>1</v>
      </c>
      <c r="F84" s="250">
        <f>F85</f>
        <v>4.88</v>
      </c>
      <c r="G84" s="250">
        <f>TRUNC(E84*F84,2)</f>
        <v>4.88</v>
      </c>
    </row>
    <row r="85" spans="1:7" s="59" customFormat="1" ht="18.75">
      <c r="A85" s="61"/>
      <c r="B85" s="399" t="s">
        <v>807</v>
      </c>
      <c r="C85" s="230" t="s">
        <v>419</v>
      </c>
      <c r="D85" s="58" t="s">
        <v>15</v>
      </c>
      <c r="E85" s="58">
        <v>1</v>
      </c>
      <c r="F85" s="58">
        <f>G88</f>
        <v>4.88</v>
      </c>
      <c r="G85" s="58">
        <f>TRUNC(E85*F85,2)</f>
        <v>4.88</v>
      </c>
    </row>
    <row r="86" spans="1:7" s="59" customFormat="1" ht="18.75">
      <c r="A86" s="61"/>
      <c r="B86" s="399" t="s">
        <v>54</v>
      </c>
      <c r="C86" s="230" t="s">
        <v>55</v>
      </c>
      <c r="D86" s="58" t="s">
        <v>52</v>
      </c>
      <c r="E86" s="58">
        <v>0.1401</v>
      </c>
      <c r="F86" s="58">
        <f>TRUNC(21.24,2)</f>
        <v>21.24</v>
      </c>
      <c r="G86" s="58">
        <f>TRUNC(E86*F86,2)</f>
        <v>2.97</v>
      </c>
    </row>
    <row r="87" spans="1:7" s="59" customFormat="1" ht="18.75">
      <c r="A87" s="61"/>
      <c r="B87" s="399" t="s">
        <v>808</v>
      </c>
      <c r="C87" s="230" t="s">
        <v>420</v>
      </c>
      <c r="D87" s="58" t="s">
        <v>52</v>
      </c>
      <c r="E87" s="58">
        <v>0.0713</v>
      </c>
      <c r="F87" s="58">
        <f>TRUNC(26.8,2)</f>
        <v>26.8</v>
      </c>
      <c r="G87" s="58">
        <f>TRUNC(E87*F87,2)</f>
        <v>1.91</v>
      </c>
    </row>
    <row r="88" spans="1:7" s="59" customFormat="1" ht="18.75">
      <c r="A88" s="61"/>
      <c r="B88" s="399"/>
      <c r="C88" s="230"/>
      <c r="D88" s="58"/>
      <c r="E88" s="58" t="s">
        <v>53</v>
      </c>
      <c r="F88" s="58"/>
      <c r="G88" s="58">
        <f>TRUNC(SUM(G86:G87),2)</f>
        <v>4.88</v>
      </c>
    </row>
    <row r="89" spans="1:7" s="10" customFormat="1" ht="30">
      <c r="A89" s="28" t="s">
        <v>625</v>
      </c>
      <c r="B89" s="97" t="s">
        <v>809</v>
      </c>
      <c r="C89" s="278" t="s">
        <v>249</v>
      </c>
      <c r="D89" s="247" t="s">
        <v>15</v>
      </c>
      <c r="E89" s="247">
        <v>1</v>
      </c>
      <c r="F89" s="247">
        <f>F90</f>
        <v>3.25</v>
      </c>
      <c r="G89" s="247">
        <f>TRUNC(E89*F89,2)</f>
        <v>3.25</v>
      </c>
    </row>
    <row r="90" spans="1:7" s="10" customFormat="1" ht="30">
      <c r="A90" s="25"/>
      <c r="B90" s="111" t="s">
        <v>809</v>
      </c>
      <c r="C90" s="221" t="s">
        <v>249</v>
      </c>
      <c r="D90" s="18" t="s">
        <v>15</v>
      </c>
      <c r="E90" s="18">
        <v>1</v>
      </c>
      <c r="F90" s="18">
        <f>G93</f>
        <v>3.25</v>
      </c>
      <c r="G90" s="18">
        <f>TRUNC(E90*F90,2)</f>
        <v>3.25</v>
      </c>
    </row>
    <row r="91" spans="1:7" s="10" customFormat="1" ht="18.75">
      <c r="A91" s="25"/>
      <c r="B91" s="111" t="s">
        <v>80</v>
      </c>
      <c r="C91" s="221" t="s">
        <v>81</v>
      </c>
      <c r="D91" s="18" t="s">
        <v>52</v>
      </c>
      <c r="E91" s="18">
        <v>0.0494</v>
      </c>
      <c r="F91" s="18">
        <f>TRUNC(24.23,2)</f>
        <v>24.23</v>
      </c>
      <c r="G91" s="18">
        <f>TRUNC(E91*F91,2)</f>
        <v>1.19</v>
      </c>
    </row>
    <row r="92" spans="1:7" s="10" customFormat="1" ht="18.75">
      <c r="A92" s="25"/>
      <c r="B92" s="111" t="s">
        <v>54</v>
      </c>
      <c r="C92" s="221" t="s">
        <v>55</v>
      </c>
      <c r="D92" s="18" t="s">
        <v>52</v>
      </c>
      <c r="E92" s="18">
        <v>0.0971</v>
      </c>
      <c r="F92" s="18">
        <f>TRUNC(21.24,2)</f>
        <v>21.24</v>
      </c>
      <c r="G92" s="18">
        <f>TRUNC(E92*F92,2)</f>
        <v>2.06</v>
      </c>
    </row>
    <row r="93" spans="1:7" s="10" customFormat="1" ht="18.75">
      <c r="A93" s="25"/>
      <c r="B93" s="111"/>
      <c r="C93" s="221"/>
      <c r="D93" s="18"/>
      <c r="E93" s="18" t="s">
        <v>53</v>
      </c>
      <c r="F93" s="18"/>
      <c r="G93" s="18">
        <f>TRUNC(SUM(G91:G92),2)</f>
        <v>3.25</v>
      </c>
    </row>
    <row r="94" spans="1:7" s="10" customFormat="1" ht="30">
      <c r="A94" s="28" t="s">
        <v>626</v>
      </c>
      <c r="B94" s="97" t="s">
        <v>810</v>
      </c>
      <c r="C94" s="278" t="s">
        <v>558</v>
      </c>
      <c r="D94" s="247" t="s">
        <v>15</v>
      </c>
      <c r="E94" s="247">
        <v>1</v>
      </c>
      <c r="F94" s="247">
        <f>F95</f>
        <v>14.9</v>
      </c>
      <c r="G94" s="247">
        <f>TRUNC(E94*F94,2)</f>
        <v>14.9</v>
      </c>
    </row>
    <row r="95" spans="1:7" s="10" customFormat="1" ht="30">
      <c r="A95" s="25"/>
      <c r="B95" s="111" t="s">
        <v>810</v>
      </c>
      <c r="C95" s="221" t="s">
        <v>558</v>
      </c>
      <c r="D95" s="18" t="s">
        <v>15</v>
      </c>
      <c r="E95" s="18">
        <v>1</v>
      </c>
      <c r="F95" s="18">
        <f>G97</f>
        <v>14.9</v>
      </c>
      <c r="G95" s="18">
        <f>TRUNC(E95*F95,2)</f>
        <v>14.9</v>
      </c>
    </row>
    <row r="96" spans="1:7" s="10" customFormat="1" ht="18.75">
      <c r="A96" s="25"/>
      <c r="B96" s="111" t="s">
        <v>50</v>
      </c>
      <c r="C96" s="221" t="s">
        <v>51</v>
      </c>
      <c r="D96" s="18" t="s">
        <v>52</v>
      </c>
      <c r="E96" s="18">
        <v>1.03</v>
      </c>
      <c r="F96" s="18">
        <f>TRUNC(14.47,2)</f>
        <v>14.47</v>
      </c>
      <c r="G96" s="18">
        <f>TRUNC(E96*F96,2)</f>
        <v>14.9</v>
      </c>
    </row>
    <row r="97" spans="1:7" s="10" customFormat="1" ht="18.75">
      <c r="A97" s="25"/>
      <c r="B97" s="111"/>
      <c r="C97" s="221"/>
      <c r="D97" s="18"/>
      <c r="E97" s="18" t="s">
        <v>53</v>
      </c>
      <c r="F97" s="18"/>
      <c r="G97" s="18">
        <f>TRUNC(SUM(G96:G96),2)</f>
        <v>14.9</v>
      </c>
    </row>
    <row r="98" spans="1:7" s="10" customFormat="1" ht="60">
      <c r="A98" s="28" t="s">
        <v>627</v>
      </c>
      <c r="B98" s="97" t="s">
        <v>1266</v>
      </c>
      <c r="C98" s="278" t="s">
        <v>1267</v>
      </c>
      <c r="D98" s="15" t="s">
        <v>21</v>
      </c>
      <c r="E98" s="15">
        <v>1</v>
      </c>
      <c r="F98" s="15">
        <f>F99</f>
        <v>238.94</v>
      </c>
      <c r="G98" s="15">
        <f>TRUNC(E98*F98,2)</f>
        <v>238.94</v>
      </c>
    </row>
    <row r="99" spans="1:7" s="10" customFormat="1" ht="60">
      <c r="A99" s="25"/>
      <c r="B99" s="111" t="s">
        <v>1266</v>
      </c>
      <c r="C99" s="221" t="s">
        <v>1267</v>
      </c>
      <c r="D99" s="10" t="s">
        <v>21</v>
      </c>
      <c r="E99" s="10">
        <v>1</v>
      </c>
      <c r="F99" s="10">
        <f>G102</f>
        <v>238.94</v>
      </c>
      <c r="G99" s="10">
        <f>TRUNC(E99*F99,2)</f>
        <v>238.94</v>
      </c>
    </row>
    <row r="100" spans="1:7" s="10" customFormat="1" ht="18.75">
      <c r="A100" s="25"/>
      <c r="B100" s="111" t="s">
        <v>50</v>
      </c>
      <c r="C100" s="221" t="s">
        <v>51</v>
      </c>
      <c r="D100" s="10" t="s">
        <v>52</v>
      </c>
      <c r="E100" s="10">
        <v>0.618</v>
      </c>
      <c r="F100" s="10">
        <f>TRUNC(14.47,2)</f>
        <v>14.47</v>
      </c>
      <c r="G100" s="10">
        <f>TRUNC(E100*F100,2)</f>
        <v>8.94</v>
      </c>
    </row>
    <row r="101" spans="1:7" s="10" customFormat="1" ht="30">
      <c r="A101" s="25"/>
      <c r="B101" s="111" t="s">
        <v>1268</v>
      </c>
      <c r="C101" s="221" t="s">
        <v>1269</v>
      </c>
      <c r="D101" s="10" t="s">
        <v>21</v>
      </c>
      <c r="E101" s="10">
        <v>1</v>
      </c>
      <c r="F101" s="10">
        <f>TRUNC(230,2)</f>
        <v>230</v>
      </c>
      <c r="G101" s="10">
        <f>TRUNC(E101*F101,2)</f>
        <v>230</v>
      </c>
    </row>
    <row r="102" spans="1:7" s="10" customFormat="1" ht="18.75">
      <c r="A102" s="25"/>
      <c r="B102" s="111"/>
      <c r="C102" s="221"/>
      <c r="E102" s="10" t="s">
        <v>53</v>
      </c>
      <c r="G102" s="10">
        <f>TRUNC(SUM(G100:G101),2)</f>
        <v>238.94</v>
      </c>
    </row>
    <row r="103" spans="1:7" s="10" customFormat="1" ht="30">
      <c r="A103" s="28" t="s">
        <v>1273</v>
      </c>
      <c r="B103" s="97" t="s">
        <v>1274</v>
      </c>
      <c r="C103" s="278" t="s">
        <v>1275</v>
      </c>
      <c r="D103" s="15" t="s">
        <v>15</v>
      </c>
      <c r="E103" s="15">
        <v>1</v>
      </c>
      <c r="F103" s="15">
        <f>F104</f>
        <v>15.66</v>
      </c>
      <c r="G103" s="15">
        <f>TRUNC(E103*F103,2)</f>
        <v>15.66</v>
      </c>
    </row>
    <row r="104" spans="1:7" s="10" customFormat="1" ht="30">
      <c r="A104" s="25"/>
      <c r="B104" s="111" t="s">
        <v>1274</v>
      </c>
      <c r="C104" s="221" t="s">
        <v>1275</v>
      </c>
      <c r="D104" s="10" t="s">
        <v>15</v>
      </c>
      <c r="E104" s="10">
        <v>1</v>
      </c>
      <c r="F104" s="10">
        <f>G107</f>
        <v>15.66</v>
      </c>
      <c r="G104" s="10">
        <f>TRUNC(E104*F104,2)</f>
        <v>15.66</v>
      </c>
    </row>
    <row r="105" spans="1:7" s="10" customFormat="1" ht="18.75">
      <c r="A105" s="25"/>
      <c r="B105" s="111" t="s">
        <v>1276</v>
      </c>
      <c r="C105" s="221" t="s">
        <v>55</v>
      </c>
      <c r="D105" s="10" t="s">
        <v>52</v>
      </c>
      <c r="E105" s="10">
        <v>0.1582</v>
      </c>
      <c r="F105" s="10">
        <f>TRUNC(21.25,2)</f>
        <v>21.25</v>
      </c>
      <c r="G105" s="10">
        <f>TRUNC(E105*F105,2)</f>
        <v>3.36</v>
      </c>
    </row>
    <row r="106" spans="1:7" s="10" customFormat="1" ht="18.75">
      <c r="A106" s="25"/>
      <c r="B106" s="111" t="s">
        <v>1277</v>
      </c>
      <c r="C106" s="221" t="s">
        <v>1278</v>
      </c>
      <c r="D106" s="10" t="s">
        <v>52</v>
      </c>
      <c r="E106" s="10">
        <v>0.4591</v>
      </c>
      <c r="F106" s="10">
        <f>TRUNC(26.81,2)</f>
        <v>26.81</v>
      </c>
      <c r="G106" s="10">
        <f>TRUNC(E106*F106,2)</f>
        <v>12.3</v>
      </c>
    </row>
    <row r="107" spans="1:7" s="10" customFormat="1" ht="18.75">
      <c r="A107" s="25"/>
      <c r="B107" s="111"/>
      <c r="C107" s="221"/>
      <c r="E107" s="10" t="s">
        <v>53</v>
      </c>
      <c r="G107" s="10">
        <f>TRUNC(SUM(G105:G106),2)</f>
        <v>15.66</v>
      </c>
    </row>
    <row r="108" spans="1:7" s="10" customFormat="1" ht="18.75">
      <c r="A108" s="238" t="s">
        <v>628</v>
      </c>
      <c r="B108" s="239"/>
      <c r="C108" s="240" t="s">
        <v>20</v>
      </c>
      <c r="D108" s="251"/>
      <c r="E108" s="251"/>
      <c r="F108" s="251"/>
      <c r="G108" s="251"/>
    </row>
    <row r="109" spans="1:7" s="59" customFormat="1" ht="18.75">
      <c r="A109" s="254" t="s">
        <v>629</v>
      </c>
      <c r="B109" s="141" t="s">
        <v>811</v>
      </c>
      <c r="C109" s="255" t="s">
        <v>186</v>
      </c>
      <c r="D109" s="256" t="s">
        <v>21</v>
      </c>
      <c r="E109" s="256">
        <v>1</v>
      </c>
      <c r="F109" s="256">
        <f>F110</f>
        <v>11.99</v>
      </c>
      <c r="G109" s="256">
        <f>TRUNC(E109*F109,2)</f>
        <v>11.99</v>
      </c>
    </row>
    <row r="110" spans="1:7" s="59" customFormat="1" ht="18.75">
      <c r="A110" s="61"/>
      <c r="B110" s="399" t="s">
        <v>811</v>
      </c>
      <c r="C110" s="230" t="s">
        <v>186</v>
      </c>
      <c r="D110" s="59" t="s">
        <v>21</v>
      </c>
      <c r="E110" s="59">
        <v>1</v>
      </c>
      <c r="F110" s="59">
        <f>G113</f>
        <v>11.99</v>
      </c>
      <c r="G110" s="59">
        <f>TRUNC(E110*F110,2)</f>
        <v>11.99</v>
      </c>
    </row>
    <row r="111" spans="1:7" s="59" customFormat="1" ht="18.75">
      <c r="A111" s="61"/>
      <c r="B111" s="399" t="s">
        <v>54</v>
      </c>
      <c r="C111" s="230" t="s">
        <v>55</v>
      </c>
      <c r="D111" s="59" t="s">
        <v>52</v>
      </c>
      <c r="E111" s="59">
        <v>0.3448</v>
      </c>
      <c r="F111" s="59">
        <f>TRUNC(21.24,2)</f>
        <v>21.24</v>
      </c>
      <c r="G111" s="59">
        <f>TRUNC(E111*F111,2)</f>
        <v>7.32</v>
      </c>
    </row>
    <row r="112" spans="1:7" s="59" customFormat="1" ht="18.75">
      <c r="A112" s="61"/>
      <c r="B112" s="399" t="s">
        <v>131</v>
      </c>
      <c r="C112" s="230" t="s">
        <v>59</v>
      </c>
      <c r="D112" s="59" t="s">
        <v>52</v>
      </c>
      <c r="E112" s="59">
        <v>0.1755</v>
      </c>
      <c r="F112" s="59">
        <f>TRUNC(26.66,2)</f>
        <v>26.66</v>
      </c>
      <c r="G112" s="59">
        <f>TRUNC(E112*F112,2)</f>
        <v>4.67</v>
      </c>
    </row>
    <row r="113" spans="1:7" s="59" customFormat="1" ht="18.75">
      <c r="A113" s="61"/>
      <c r="B113" s="399"/>
      <c r="C113" s="230"/>
      <c r="E113" s="59" t="s">
        <v>53</v>
      </c>
      <c r="G113" s="59">
        <f>TRUNC(SUM(G111:G112),2)</f>
        <v>11.99</v>
      </c>
    </row>
    <row r="114" spans="1:7" s="59" customFormat="1" ht="41.25" customHeight="1">
      <c r="A114" s="254" t="s">
        <v>630</v>
      </c>
      <c r="B114" s="141" t="s">
        <v>812</v>
      </c>
      <c r="C114" s="255" t="s">
        <v>187</v>
      </c>
      <c r="D114" s="256" t="s">
        <v>21</v>
      </c>
      <c r="E114" s="256">
        <v>1</v>
      </c>
      <c r="F114" s="256">
        <f>F115</f>
        <v>8.74</v>
      </c>
      <c r="G114" s="256">
        <f>TRUNC(E114*F114,2)</f>
        <v>8.74</v>
      </c>
    </row>
    <row r="115" spans="1:7" s="59" customFormat="1" ht="18.75">
      <c r="A115" s="61"/>
      <c r="B115" s="399" t="s">
        <v>812</v>
      </c>
      <c r="C115" s="230" t="s">
        <v>187</v>
      </c>
      <c r="D115" s="59" t="s">
        <v>21</v>
      </c>
      <c r="E115" s="59">
        <v>1</v>
      </c>
      <c r="F115" s="59">
        <f>G118</f>
        <v>8.74</v>
      </c>
      <c r="G115" s="59">
        <f>TRUNC(E115*F115,2)</f>
        <v>8.74</v>
      </c>
    </row>
    <row r="116" spans="1:7" s="59" customFormat="1" ht="18.75">
      <c r="A116" s="61"/>
      <c r="B116" s="399" t="s">
        <v>54</v>
      </c>
      <c r="C116" s="230" t="s">
        <v>55</v>
      </c>
      <c r="D116" s="59" t="s">
        <v>52</v>
      </c>
      <c r="E116" s="59">
        <v>0.2514</v>
      </c>
      <c r="F116" s="59">
        <f>TRUNC(21.24,2)</f>
        <v>21.24</v>
      </c>
      <c r="G116" s="59">
        <f>TRUNC(E116*F116,2)</f>
        <v>5.33</v>
      </c>
    </row>
    <row r="117" spans="1:7" s="59" customFormat="1" ht="18.75">
      <c r="A117" s="61"/>
      <c r="B117" s="399" t="s">
        <v>131</v>
      </c>
      <c r="C117" s="230" t="s">
        <v>59</v>
      </c>
      <c r="D117" s="59" t="s">
        <v>52</v>
      </c>
      <c r="E117" s="59">
        <v>0.128</v>
      </c>
      <c r="F117" s="59">
        <f>TRUNC(26.66,2)</f>
        <v>26.66</v>
      </c>
      <c r="G117" s="59">
        <f>TRUNC(E117*F117,2)</f>
        <v>3.41</v>
      </c>
    </row>
    <row r="118" spans="1:7" s="59" customFormat="1" ht="18.75">
      <c r="A118" s="61"/>
      <c r="B118" s="399"/>
      <c r="C118" s="230"/>
      <c r="E118" s="59" t="s">
        <v>53</v>
      </c>
      <c r="G118" s="59">
        <f>TRUNC(SUM(G116:G117),2)</f>
        <v>8.74</v>
      </c>
    </row>
    <row r="119" spans="1:7" s="59" customFormat="1" ht="30">
      <c r="A119" s="254" t="s">
        <v>631</v>
      </c>
      <c r="B119" s="141" t="s">
        <v>813</v>
      </c>
      <c r="C119" s="255" t="s">
        <v>571</v>
      </c>
      <c r="D119" s="256" t="s">
        <v>18</v>
      </c>
      <c r="E119" s="256">
        <v>1</v>
      </c>
      <c r="F119" s="256">
        <f>F120</f>
        <v>35.46</v>
      </c>
      <c r="G119" s="256">
        <f>TRUNC(E119*F119,2)</f>
        <v>35.46</v>
      </c>
    </row>
    <row r="120" spans="1:7" s="59" customFormat="1" ht="30">
      <c r="A120" s="61"/>
      <c r="B120" s="399" t="s">
        <v>813</v>
      </c>
      <c r="C120" s="230" t="s">
        <v>22</v>
      </c>
      <c r="D120" s="59" t="s">
        <v>18</v>
      </c>
      <c r="E120" s="59">
        <v>1</v>
      </c>
      <c r="F120" s="59">
        <f>G123</f>
        <v>35.46</v>
      </c>
      <c r="G120" s="59">
        <f>TRUNC(E120*F120,2)</f>
        <v>35.46</v>
      </c>
    </row>
    <row r="121" spans="1:7" s="59" customFormat="1" ht="18.75">
      <c r="A121" s="61"/>
      <c r="B121" s="399" t="s">
        <v>50</v>
      </c>
      <c r="C121" s="230" t="s">
        <v>51</v>
      </c>
      <c r="D121" s="59" t="s">
        <v>52</v>
      </c>
      <c r="E121" s="59">
        <v>1.03</v>
      </c>
      <c r="F121" s="59">
        <f>TRUNC(14.47,2)</f>
        <v>14.47</v>
      </c>
      <c r="G121" s="59">
        <f>TRUNC(E121*F121,2)</f>
        <v>14.9</v>
      </c>
    </row>
    <row r="122" spans="1:7" s="59" customFormat="1" ht="18.75">
      <c r="A122" s="61"/>
      <c r="B122" s="399" t="s">
        <v>794</v>
      </c>
      <c r="C122" s="230" t="s">
        <v>795</v>
      </c>
      <c r="D122" s="59" t="s">
        <v>52</v>
      </c>
      <c r="E122" s="59">
        <v>1.03</v>
      </c>
      <c r="F122" s="59">
        <f>TRUNC(19.97,2)</f>
        <v>19.97</v>
      </c>
      <c r="G122" s="59">
        <f>TRUNC(E122*F122,2)</f>
        <v>20.56</v>
      </c>
    </row>
    <row r="123" spans="1:7" s="59" customFormat="1" ht="18.75">
      <c r="A123" s="61"/>
      <c r="B123" s="399"/>
      <c r="C123" s="230"/>
      <c r="E123" s="59" t="s">
        <v>53</v>
      </c>
      <c r="G123" s="59">
        <f>TRUNC(SUM(G121:G122),2)</f>
        <v>35.46</v>
      </c>
    </row>
    <row r="124" spans="1:7" s="59" customFormat="1" ht="18.75">
      <c r="A124" s="254" t="s">
        <v>632</v>
      </c>
      <c r="B124" s="141" t="s">
        <v>184</v>
      </c>
      <c r="C124" s="255" t="s">
        <v>185</v>
      </c>
      <c r="D124" s="256" t="s">
        <v>15</v>
      </c>
      <c r="E124" s="256">
        <v>1</v>
      </c>
      <c r="F124" s="256">
        <f>G127</f>
        <v>9.02</v>
      </c>
      <c r="G124" s="256">
        <f>TRUNC(E124*F124,2)</f>
        <v>9.02</v>
      </c>
    </row>
    <row r="125" spans="1:7" s="59" customFormat="1" ht="18.75">
      <c r="A125" s="61"/>
      <c r="B125" s="399" t="s">
        <v>54</v>
      </c>
      <c r="C125" s="230" t="s">
        <v>55</v>
      </c>
      <c r="D125" s="59" t="s">
        <v>52</v>
      </c>
      <c r="E125" s="59">
        <v>0.2582</v>
      </c>
      <c r="F125" s="59">
        <f>TRUNC(21.25,2)</f>
        <v>21.25</v>
      </c>
      <c r="G125" s="59">
        <f>TRUNC(E125*F125,2)</f>
        <v>5.48</v>
      </c>
    </row>
    <row r="126" spans="1:7" s="59" customFormat="1" ht="18.75">
      <c r="A126" s="61"/>
      <c r="B126" s="399" t="s">
        <v>118</v>
      </c>
      <c r="C126" s="230" t="s">
        <v>119</v>
      </c>
      <c r="D126" s="59" t="s">
        <v>52</v>
      </c>
      <c r="E126" s="59">
        <v>0.1315</v>
      </c>
      <c r="F126" s="59">
        <f>TRUNC(26.96,2)</f>
        <v>26.96</v>
      </c>
      <c r="G126" s="59">
        <f>TRUNC(E126*F126,2)</f>
        <v>3.54</v>
      </c>
    </row>
    <row r="127" spans="1:7" s="59" customFormat="1" ht="18.75">
      <c r="A127" s="61"/>
      <c r="B127" s="399"/>
      <c r="C127" s="230"/>
      <c r="E127" s="59" t="s">
        <v>53</v>
      </c>
      <c r="G127" s="59">
        <f>TRUNC(SUM(G125:G126),2)</f>
        <v>9.02</v>
      </c>
    </row>
    <row r="128" spans="1:7" s="59" customFormat="1" ht="45">
      <c r="A128" s="254" t="s">
        <v>633</v>
      </c>
      <c r="B128" s="139" t="s">
        <v>814</v>
      </c>
      <c r="C128" s="255" t="s">
        <v>252</v>
      </c>
      <c r="D128" s="250" t="s">
        <v>15</v>
      </c>
      <c r="E128" s="250">
        <v>1</v>
      </c>
      <c r="F128" s="250">
        <f>F129</f>
        <v>12.93</v>
      </c>
      <c r="G128" s="250">
        <f>TRUNC(E128*F128,2)</f>
        <v>12.93</v>
      </c>
    </row>
    <row r="129" spans="1:7" s="59" customFormat="1" ht="45">
      <c r="A129" s="61"/>
      <c r="B129" s="252" t="s">
        <v>814</v>
      </c>
      <c r="C129" s="230" t="s">
        <v>252</v>
      </c>
      <c r="D129" s="58" t="s">
        <v>15</v>
      </c>
      <c r="E129" s="58">
        <v>1</v>
      </c>
      <c r="F129" s="58">
        <f>G132</f>
        <v>12.93</v>
      </c>
      <c r="G129" s="58">
        <f>TRUNC(E129*F129,2)</f>
        <v>12.93</v>
      </c>
    </row>
    <row r="130" spans="1:7" s="59" customFormat="1" ht="18.75">
      <c r="A130" s="61"/>
      <c r="B130" s="252" t="s">
        <v>50</v>
      </c>
      <c r="C130" s="230" t="s">
        <v>51</v>
      </c>
      <c r="D130" s="58" t="s">
        <v>52</v>
      </c>
      <c r="E130" s="58">
        <v>0.37595</v>
      </c>
      <c r="F130" s="58">
        <f>TRUNC(14.47,2)</f>
        <v>14.47</v>
      </c>
      <c r="G130" s="58">
        <f>TRUNC(E130*F130,2)</f>
        <v>5.43</v>
      </c>
    </row>
    <row r="131" spans="1:7" s="59" customFormat="1" ht="18.75">
      <c r="A131" s="61"/>
      <c r="B131" s="252" t="s">
        <v>815</v>
      </c>
      <c r="C131" s="230" t="s">
        <v>816</v>
      </c>
      <c r="D131" s="58" t="s">
        <v>52</v>
      </c>
      <c r="E131" s="58">
        <v>0.37595</v>
      </c>
      <c r="F131" s="58">
        <f>TRUNC(19.97,2)</f>
        <v>19.97</v>
      </c>
      <c r="G131" s="58">
        <f>TRUNC(E131*F131,2)</f>
        <v>7.5</v>
      </c>
    </row>
    <row r="132" spans="1:7" s="59" customFormat="1" ht="18.75">
      <c r="A132" s="61"/>
      <c r="B132" s="252"/>
      <c r="C132" s="230"/>
      <c r="D132" s="58"/>
      <c r="E132" s="58" t="s">
        <v>53</v>
      </c>
      <c r="F132" s="58"/>
      <c r="G132" s="58">
        <f>TRUNC(SUM(G130:G131),2)</f>
        <v>12.93</v>
      </c>
    </row>
    <row r="133" spans="1:7" s="59" customFormat="1" ht="30">
      <c r="A133" s="254" t="s">
        <v>634</v>
      </c>
      <c r="B133" s="139" t="s">
        <v>817</v>
      </c>
      <c r="C133" s="255" t="s">
        <v>446</v>
      </c>
      <c r="D133" s="256" t="s">
        <v>21</v>
      </c>
      <c r="E133" s="256">
        <v>1</v>
      </c>
      <c r="F133" s="256">
        <f>F134</f>
        <v>1.25</v>
      </c>
      <c r="G133" s="256">
        <f>TRUNC(E133*F133,2)</f>
        <v>1.25</v>
      </c>
    </row>
    <row r="134" spans="1:7" s="59" customFormat="1" ht="18.75">
      <c r="A134" s="61"/>
      <c r="B134" s="252" t="s">
        <v>817</v>
      </c>
      <c r="C134" s="230" t="s">
        <v>818</v>
      </c>
      <c r="D134" s="59" t="s">
        <v>21</v>
      </c>
      <c r="E134" s="59">
        <v>1</v>
      </c>
      <c r="F134" s="59">
        <f>G137</f>
        <v>1.25</v>
      </c>
      <c r="G134" s="59">
        <f>TRUNC(E134*F134,2)</f>
        <v>1.25</v>
      </c>
    </row>
    <row r="135" spans="1:7" s="59" customFormat="1" ht="18.75">
      <c r="A135" s="61"/>
      <c r="B135" s="252" t="s">
        <v>54</v>
      </c>
      <c r="C135" s="230" t="s">
        <v>55</v>
      </c>
      <c r="D135" s="59" t="s">
        <v>52</v>
      </c>
      <c r="E135" s="59">
        <v>0.0359</v>
      </c>
      <c r="F135" s="59">
        <f>TRUNC(21.24,2)</f>
        <v>21.24</v>
      </c>
      <c r="G135" s="59">
        <f>TRUNC(E135*F135,2)</f>
        <v>0.76</v>
      </c>
    </row>
    <row r="136" spans="1:7" s="59" customFormat="1" ht="18.75">
      <c r="A136" s="61"/>
      <c r="B136" s="252" t="s">
        <v>819</v>
      </c>
      <c r="C136" s="230" t="s">
        <v>120</v>
      </c>
      <c r="D136" s="59" t="s">
        <v>52</v>
      </c>
      <c r="E136" s="59">
        <v>0.0183</v>
      </c>
      <c r="F136" s="59">
        <f>TRUNC(26.96,2)</f>
        <v>26.96</v>
      </c>
      <c r="G136" s="59">
        <f>TRUNC(E136*F136,2)</f>
        <v>0.49</v>
      </c>
    </row>
    <row r="137" spans="1:7" s="59" customFormat="1" ht="18.75">
      <c r="A137" s="61"/>
      <c r="B137" s="252"/>
      <c r="C137" s="230"/>
      <c r="E137" s="59" t="s">
        <v>53</v>
      </c>
      <c r="G137" s="59">
        <f>TRUNC(SUM(G135:G136),2)</f>
        <v>1.25</v>
      </c>
    </row>
    <row r="138" spans="1:7" s="59" customFormat="1" ht="60">
      <c r="A138" s="254" t="s">
        <v>635</v>
      </c>
      <c r="B138" s="141" t="s">
        <v>1266</v>
      </c>
      <c r="C138" s="255" t="s">
        <v>1267</v>
      </c>
      <c r="D138" s="256" t="s">
        <v>21</v>
      </c>
      <c r="E138" s="256">
        <v>1</v>
      </c>
      <c r="F138" s="63">
        <f>F139</f>
        <v>238.94</v>
      </c>
      <c r="G138" s="256">
        <f>TRUNC(E138*F138,2)</f>
        <v>238.94</v>
      </c>
    </row>
    <row r="139" spans="1:9" s="3" customFormat="1" ht="60">
      <c r="A139" s="19"/>
      <c r="B139" s="433" t="s">
        <v>1266</v>
      </c>
      <c r="C139" s="222" t="s">
        <v>1267</v>
      </c>
      <c r="D139" s="20" t="s">
        <v>21</v>
      </c>
      <c r="E139" s="21">
        <v>1</v>
      </c>
      <c r="F139" s="22">
        <f>G142</f>
        <v>238.94</v>
      </c>
      <c r="G139" s="22">
        <f>TRUNC(E139*F139,2)</f>
        <v>238.94</v>
      </c>
      <c r="I139" s="10"/>
    </row>
    <row r="140" spans="1:9" s="3" customFormat="1" ht="18.75">
      <c r="A140" s="19"/>
      <c r="B140" s="433" t="s">
        <v>50</v>
      </c>
      <c r="C140" s="222" t="s">
        <v>51</v>
      </c>
      <c r="D140" s="20" t="s">
        <v>52</v>
      </c>
      <c r="E140" s="21">
        <v>0.618</v>
      </c>
      <c r="F140" s="22">
        <f>TRUNC(14.47,2)</f>
        <v>14.47</v>
      </c>
      <c r="G140" s="22">
        <f>TRUNC(E140*F140,2)</f>
        <v>8.94</v>
      </c>
      <c r="I140" s="10"/>
    </row>
    <row r="141" spans="1:9" s="3" customFormat="1" ht="30">
      <c r="A141" s="19"/>
      <c r="B141" s="433" t="s">
        <v>1268</v>
      </c>
      <c r="C141" s="222" t="s">
        <v>1269</v>
      </c>
      <c r="D141" s="20" t="s">
        <v>21</v>
      </c>
      <c r="E141" s="21">
        <v>1</v>
      </c>
      <c r="F141" s="22">
        <f>TRUNC(230,2)</f>
        <v>230</v>
      </c>
      <c r="G141" s="22">
        <f>TRUNC(E141*F141,2)</f>
        <v>230</v>
      </c>
      <c r="I141" s="10"/>
    </row>
    <row r="142" spans="1:9" s="3" customFormat="1" ht="18.75">
      <c r="A142" s="19"/>
      <c r="B142" s="433"/>
      <c r="C142" s="222"/>
      <c r="D142" s="20"/>
      <c r="E142" s="21" t="s">
        <v>53</v>
      </c>
      <c r="F142" s="22"/>
      <c r="G142" s="22">
        <f>TRUNC(SUM(G140:G141),2)</f>
        <v>238.94</v>
      </c>
      <c r="I142" s="10"/>
    </row>
    <row r="143" spans="1:9" s="3" customFormat="1" ht="18.75">
      <c r="A143" s="261" t="s">
        <v>636</v>
      </c>
      <c r="B143" s="434"/>
      <c r="C143" s="262" t="s">
        <v>360</v>
      </c>
      <c r="D143" s="263"/>
      <c r="E143" s="264"/>
      <c r="F143" s="265"/>
      <c r="G143" s="265"/>
      <c r="I143" s="10"/>
    </row>
    <row r="144" spans="1:9" s="3" customFormat="1" ht="30">
      <c r="A144" s="343" t="s">
        <v>637</v>
      </c>
      <c r="B144" s="120" t="s">
        <v>820</v>
      </c>
      <c r="C144" s="260" t="s">
        <v>361</v>
      </c>
      <c r="D144" s="257" t="s">
        <v>19</v>
      </c>
      <c r="E144" s="258">
        <v>1</v>
      </c>
      <c r="F144" s="259">
        <f>F145</f>
        <v>394.1</v>
      </c>
      <c r="G144" s="259">
        <f aca="true" t="shared" si="2" ref="G144:G150">TRUNC(E144*F144,2)</f>
        <v>394.1</v>
      </c>
      <c r="I144" s="10"/>
    </row>
    <row r="145" spans="1:9" s="3" customFormat="1" ht="30">
      <c r="A145" s="19"/>
      <c r="B145" s="433" t="s">
        <v>820</v>
      </c>
      <c r="C145" s="222" t="s">
        <v>361</v>
      </c>
      <c r="D145" s="20" t="s">
        <v>19</v>
      </c>
      <c r="E145" s="21">
        <v>1</v>
      </c>
      <c r="F145" s="22">
        <f>G151</f>
        <v>394.1</v>
      </c>
      <c r="G145" s="22">
        <f t="shared" si="2"/>
        <v>394.1</v>
      </c>
      <c r="I145" s="10"/>
    </row>
    <row r="146" spans="1:9" s="3" customFormat="1" ht="30">
      <c r="A146" s="19"/>
      <c r="B146" s="433" t="s">
        <v>821</v>
      </c>
      <c r="C146" s="222" t="s">
        <v>362</v>
      </c>
      <c r="D146" s="20" t="s">
        <v>19</v>
      </c>
      <c r="E146" s="21">
        <v>1.163</v>
      </c>
      <c r="F146" s="22">
        <f>TRUNC(317.91,2)</f>
        <v>317.91</v>
      </c>
      <c r="G146" s="22">
        <f t="shared" si="2"/>
        <v>369.72</v>
      </c>
      <c r="I146" s="10"/>
    </row>
    <row r="147" spans="1:9" s="3" customFormat="1" ht="18.75">
      <c r="A147" s="19"/>
      <c r="B147" s="433" t="s">
        <v>54</v>
      </c>
      <c r="C147" s="222" t="s">
        <v>55</v>
      </c>
      <c r="D147" s="20" t="s">
        <v>52</v>
      </c>
      <c r="E147" s="21">
        <v>0.504</v>
      </c>
      <c r="F147" s="22">
        <f>TRUNC(21.24,2)</f>
        <v>21.24</v>
      </c>
      <c r="G147" s="22">
        <f t="shared" si="2"/>
        <v>10.7</v>
      </c>
      <c r="I147" s="10"/>
    </row>
    <row r="148" spans="1:9" s="3" customFormat="1" ht="18.75">
      <c r="A148" s="19"/>
      <c r="B148" s="433" t="s">
        <v>118</v>
      </c>
      <c r="C148" s="222" t="s">
        <v>119</v>
      </c>
      <c r="D148" s="20" t="s">
        <v>52</v>
      </c>
      <c r="E148" s="21">
        <v>0.504</v>
      </c>
      <c r="F148" s="22">
        <f>TRUNC(26.95,2)</f>
        <v>26.95</v>
      </c>
      <c r="G148" s="22">
        <f t="shared" si="2"/>
        <v>13.58</v>
      </c>
      <c r="I148" s="10"/>
    </row>
    <row r="149" spans="1:9" s="3" customFormat="1" ht="30">
      <c r="A149" s="19"/>
      <c r="B149" s="433" t="s">
        <v>822</v>
      </c>
      <c r="C149" s="222" t="s">
        <v>823</v>
      </c>
      <c r="D149" s="20" t="s">
        <v>56</v>
      </c>
      <c r="E149" s="21">
        <v>0.066</v>
      </c>
      <c r="F149" s="22">
        <f>TRUNC(0.29,2)</f>
        <v>0.29</v>
      </c>
      <c r="G149" s="22">
        <f t="shared" si="2"/>
        <v>0.01</v>
      </c>
      <c r="I149" s="10"/>
    </row>
    <row r="150" spans="1:9" s="3" customFormat="1" ht="30">
      <c r="A150" s="19"/>
      <c r="B150" s="433" t="s">
        <v>824</v>
      </c>
      <c r="C150" s="222" t="s">
        <v>825</v>
      </c>
      <c r="D150" s="20" t="s">
        <v>57</v>
      </c>
      <c r="E150" s="21">
        <v>0.066</v>
      </c>
      <c r="F150" s="22">
        <f>TRUNC(1.39,2)</f>
        <v>1.39</v>
      </c>
      <c r="G150" s="22">
        <f t="shared" si="2"/>
        <v>0.09</v>
      </c>
      <c r="I150" s="10"/>
    </row>
    <row r="151" spans="1:9" s="3" customFormat="1" ht="18.75">
      <c r="A151" s="19"/>
      <c r="B151" s="433"/>
      <c r="C151" s="222"/>
      <c r="D151" s="20"/>
      <c r="E151" s="21" t="s">
        <v>53</v>
      </c>
      <c r="F151" s="22"/>
      <c r="G151" s="22">
        <f>TRUNC(SUM(G146:G150),2)</f>
        <v>394.1</v>
      </c>
      <c r="I151" s="10"/>
    </row>
    <row r="152" spans="1:9" s="3" customFormat="1" ht="45">
      <c r="A152" s="343" t="s">
        <v>638</v>
      </c>
      <c r="B152" s="120" t="s">
        <v>826</v>
      </c>
      <c r="C152" s="260" t="s">
        <v>363</v>
      </c>
      <c r="D152" s="257" t="s">
        <v>15</v>
      </c>
      <c r="E152" s="258">
        <v>1</v>
      </c>
      <c r="F152" s="259">
        <f>F153</f>
        <v>67.89</v>
      </c>
      <c r="G152" s="259">
        <f aca="true" t="shared" si="3" ref="G152:G164">TRUNC(E152*F152,2)</f>
        <v>67.89</v>
      </c>
      <c r="I152" s="2"/>
    </row>
    <row r="153" spans="1:9" s="3" customFormat="1" ht="45">
      <c r="A153" s="19"/>
      <c r="B153" s="433" t="s">
        <v>826</v>
      </c>
      <c r="C153" s="222" t="s">
        <v>363</v>
      </c>
      <c r="D153" s="20" t="s">
        <v>15</v>
      </c>
      <c r="E153" s="21">
        <v>1</v>
      </c>
      <c r="F153" s="22">
        <f>G165</f>
        <v>67.89</v>
      </c>
      <c r="G153" s="22">
        <f t="shared" si="3"/>
        <v>67.89</v>
      </c>
      <c r="I153" s="2"/>
    </row>
    <row r="154" spans="1:9" s="3" customFormat="1" ht="30">
      <c r="A154" s="19"/>
      <c r="B154" s="433" t="s">
        <v>827</v>
      </c>
      <c r="C154" s="222" t="s">
        <v>773</v>
      </c>
      <c r="D154" s="20" t="s">
        <v>18</v>
      </c>
      <c r="E154" s="21">
        <v>0.17</v>
      </c>
      <c r="F154" s="22">
        <f>TRUNC(12.34,2)</f>
        <v>12.34</v>
      </c>
      <c r="G154" s="22">
        <f t="shared" si="3"/>
        <v>2.09</v>
      </c>
      <c r="I154" s="2"/>
    </row>
    <row r="155" spans="1:9" s="3" customFormat="1" ht="18.75">
      <c r="A155" s="19"/>
      <c r="B155" s="433" t="s">
        <v>828</v>
      </c>
      <c r="C155" s="222" t="s">
        <v>77</v>
      </c>
      <c r="D155" s="20" t="s">
        <v>24</v>
      </c>
      <c r="E155" s="21">
        <v>0.03</v>
      </c>
      <c r="F155" s="22">
        <f>TRUNC(9.99,2)</f>
        <v>9.99</v>
      </c>
      <c r="G155" s="22">
        <f t="shared" si="3"/>
        <v>0.29</v>
      </c>
      <c r="I155" s="2"/>
    </row>
    <row r="156" spans="1:9" s="3" customFormat="1" ht="30">
      <c r="A156" s="19"/>
      <c r="B156" s="433" t="s">
        <v>829</v>
      </c>
      <c r="C156" s="222" t="s">
        <v>774</v>
      </c>
      <c r="D156" s="20" t="s">
        <v>18</v>
      </c>
      <c r="E156" s="21">
        <v>0.29</v>
      </c>
      <c r="F156" s="22">
        <f>TRUNC(4.17,2)</f>
        <v>4.17</v>
      </c>
      <c r="G156" s="22">
        <f t="shared" si="3"/>
        <v>1.2</v>
      </c>
      <c r="I156" s="2"/>
    </row>
    <row r="157" spans="1:9" s="3" customFormat="1" ht="30">
      <c r="A157" s="19"/>
      <c r="B157" s="433" t="s">
        <v>830</v>
      </c>
      <c r="C157" s="222" t="s">
        <v>364</v>
      </c>
      <c r="D157" s="20" t="s">
        <v>15</v>
      </c>
      <c r="E157" s="21">
        <v>1</v>
      </c>
      <c r="F157" s="22">
        <f>TRUNC(26.5,2)</f>
        <v>26.5</v>
      </c>
      <c r="G157" s="22">
        <f t="shared" si="3"/>
        <v>26.5</v>
      </c>
      <c r="I157" s="2"/>
    </row>
    <row r="158" spans="1:9" s="3" customFormat="1" ht="18.75">
      <c r="A158" s="19"/>
      <c r="B158" s="433" t="s">
        <v>831</v>
      </c>
      <c r="C158" s="222" t="s">
        <v>365</v>
      </c>
      <c r="D158" s="20" t="s">
        <v>24</v>
      </c>
      <c r="E158" s="21">
        <v>0.471</v>
      </c>
      <c r="F158" s="22">
        <f>TRUNC(4.9,2)</f>
        <v>4.9</v>
      </c>
      <c r="G158" s="22">
        <f t="shared" si="3"/>
        <v>2.3</v>
      </c>
      <c r="I158" s="2"/>
    </row>
    <row r="159" spans="1:9" s="3" customFormat="1" ht="18.75">
      <c r="A159" s="19"/>
      <c r="B159" s="433" t="s">
        <v>54</v>
      </c>
      <c r="C159" s="222" t="s">
        <v>55</v>
      </c>
      <c r="D159" s="20" t="s">
        <v>52</v>
      </c>
      <c r="E159" s="21">
        <v>0.36</v>
      </c>
      <c r="F159" s="22">
        <f>TRUNC(21.24,2)</f>
        <v>21.24</v>
      </c>
      <c r="G159" s="22">
        <f t="shared" si="3"/>
        <v>7.64</v>
      </c>
      <c r="I159" s="2"/>
    </row>
    <row r="160" spans="1:9" s="3" customFormat="1" ht="18.75">
      <c r="A160" s="19"/>
      <c r="B160" s="433" t="s">
        <v>118</v>
      </c>
      <c r="C160" s="222" t="s">
        <v>119</v>
      </c>
      <c r="D160" s="20" t="s">
        <v>52</v>
      </c>
      <c r="E160" s="21">
        <v>0.35</v>
      </c>
      <c r="F160" s="22">
        <f>TRUNC(26.95,2)</f>
        <v>26.95</v>
      </c>
      <c r="G160" s="22">
        <f t="shared" si="3"/>
        <v>9.43</v>
      </c>
      <c r="I160" s="2"/>
    </row>
    <row r="161" spans="1:9" s="3" customFormat="1" ht="18.75">
      <c r="A161" s="19"/>
      <c r="B161" s="433" t="s">
        <v>832</v>
      </c>
      <c r="C161" s="222" t="s">
        <v>320</v>
      </c>
      <c r="D161" s="20" t="s">
        <v>52</v>
      </c>
      <c r="E161" s="21">
        <v>0.16</v>
      </c>
      <c r="F161" s="22">
        <f>TRUNC(26.56,2)</f>
        <v>26.56</v>
      </c>
      <c r="G161" s="22">
        <f t="shared" si="3"/>
        <v>4.24</v>
      </c>
      <c r="I161" s="2"/>
    </row>
    <row r="162" spans="1:9" s="3" customFormat="1" ht="18.75">
      <c r="A162" s="19"/>
      <c r="B162" s="433" t="s">
        <v>833</v>
      </c>
      <c r="C162" s="222" t="s">
        <v>276</v>
      </c>
      <c r="D162" s="20" t="s">
        <v>52</v>
      </c>
      <c r="E162" s="21">
        <v>0.16</v>
      </c>
      <c r="F162" s="22">
        <f>TRUNC(22.41,2)</f>
        <v>22.41</v>
      </c>
      <c r="G162" s="22">
        <f t="shared" si="3"/>
        <v>3.58</v>
      </c>
      <c r="I162" s="2"/>
    </row>
    <row r="163" spans="1:9" s="3" customFormat="1" ht="30">
      <c r="A163" s="19"/>
      <c r="B163" s="433" t="s">
        <v>834</v>
      </c>
      <c r="C163" s="222" t="s">
        <v>192</v>
      </c>
      <c r="D163" s="20" t="s">
        <v>19</v>
      </c>
      <c r="E163" s="21">
        <v>0.033</v>
      </c>
      <c r="F163" s="22">
        <f>TRUNC(285.91,2)</f>
        <v>285.91</v>
      </c>
      <c r="G163" s="22">
        <f t="shared" si="3"/>
        <v>9.43</v>
      </c>
      <c r="I163" s="2"/>
    </row>
    <row r="164" spans="1:9" s="3" customFormat="1" ht="30">
      <c r="A164" s="19"/>
      <c r="B164" s="433" t="s">
        <v>835</v>
      </c>
      <c r="C164" s="222" t="s">
        <v>836</v>
      </c>
      <c r="D164" s="20" t="s">
        <v>19</v>
      </c>
      <c r="E164" s="21">
        <v>0.033</v>
      </c>
      <c r="F164" s="22">
        <f>TRUNC(36.07,2)</f>
        <v>36.07</v>
      </c>
      <c r="G164" s="22">
        <f t="shared" si="3"/>
        <v>1.19</v>
      </c>
      <c r="I164" s="2"/>
    </row>
    <row r="165" spans="1:9" s="3" customFormat="1" ht="18.75">
      <c r="A165" s="19"/>
      <c r="B165" s="433"/>
      <c r="C165" s="222"/>
      <c r="D165" s="20"/>
      <c r="E165" s="21" t="s">
        <v>53</v>
      </c>
      <c r="F165" s="22"/>
      <c r="G165" s="22">
        <f>TRUNC(SUM(G154:G164),2)</f>
        <v>67.89</v>
      </c>
      <c r="I165" s="2"/>
    </row>
    <row r="166" spans="1:9" s="3" customFormat="1" ht="75">
      <c r="A166" s="343" t="s">
        <v>639</v>
      </c>
      <c r="B166" s="120" t="s">
        <v>837</v>
      </c>
      <c r="C166" s="260" t="s">
        <v>572</v>
      </c>
      <c r="D166" s="257" t="s">
        <v>15</v>
      </c>
      <c r="E166" s="258">
        <v>1</v>
      </c>
      <c r="F166" s="259">
        <f>F167</f>
        <v>226.13</v>
      </c>
      <c r="G166" s="259">
        <f>TRUNC(E166*F166,2)</f>
        <v>226.13</v>
      </c>
      <c r="I166" s="2"/>
    </row>
    <row r="167" spans="1:9" s="3" customFormat="1" ht="90">
      <c r="A167" s="19"/>
      <c r="B167" s="433" t="s">
        <v>837</v>
      </c>
      <c r="C167" s="222" t="s">
        <v>838</v>
      </c>
      <c r="D167" s="20" t="s">
        <v>15</v>
      </c>
      <c r="E167" s="21">
        <v>1</v>
      </c>
      <c r="F167" s="22">
        <f>G171</f>
        <v>226.13</v>
      </c>
      <c r="G167" s="22">
        <f>TRUNC(E167*F167,2)</f>
        <v>226.13</v>
      </c>
      <c r="I167" s="2"/>
    </row>
    <row r="168" spans="1:9" s="3" customFormat="1" ht="18.75">
      <c r="A168" s="19"/>
      <c r="B168" s="433" t="s">
        <v>443</v>
      </c>
      <c r="C168" s="222" t="s">
        <v>444</v>
      </c>
      <c r="D168" s="20" t="s">
        <v>24</v>
      </c>
      <c r="E168" s="21">
        <v>3.25</v>
      </c>
      <c r="F168" s="22">
        <f>TRUNC(60.94,2)</f>
        <v>60.94</v>
      </c>
      <c r="G168" s="22">
        <f>TRUNC(E168*F168,2)</f>
        <v>198.05</v>
      </c>
      <c r="I168" s="2"/>
    </row>
    <row r="169" spans="1:9" s="3" customFormat="1" ht="18.75">
      <c r="A169" s="19"/>
      <c r="B169" s="433" t="s">
        <v>839</v>
      </c>
      <c r="C169" s="222" t="s">
        <v>840</v>
      </c>
      <c r="D169" s="20" t="s">
        <v>52</v>
      </c>
      <c r="E169" s="21">
        <v>0.7725</v>
      </c>
      <c r="F169" s="22">
        <f>TRUNC(19.97,2)</f>
        <v>19.97</v>
      </c>
      <c r="G169" s="22">
        <f>TRUNC(E169*F169,2)</f>
        <v>15.42</v>
      </c>
      <c r="I169" s="2"/>
    </row>
    <row r="170" spans="1:9" s="3" customFormat="1" ht="18.75">
      <c r="A170" s="19"/>
      <c r="B170" s="433" t="s">
        <v>50</v>
      </c>
      <c r="C170" s="222" t="s">
        <v>51</v>
      </c>
      <c r="D170" s="20" t="s">
        <v>52</v>
      </c>
      <c r="E170" s="21">
        <v>0.8755</v>
      </c>
      <c r="F170" s="22">
        <f>TRUNC(14.47,2)</f>
        <v>14.47</v>
      </c>
      <c r="G170" s="22">
        <f>TRUNC(E170*F170,2)</f>
        <v>12.66</v>
      </c>
      <c r="I170" s="2"/>
    </row>
    <row r="171" spans="1:9" s="3" customFormat="1" ht="18.75">
      <c r="A171" s="19"/>
      <c r="B171" s="433"/>
      <c r="C171" s="222"/>
      <c r="D171" s="20"/>
      <c r="E171" s="21" t="s">
        <v>53</v>
      </c>
      <c r="F171" s="22"/>
      <c r="G171" s="22">
        <f>TRUNC(SUM(G168:G170),2)</f>
        <v>226.13</v>
      </c>
      <c r="I171" s="2"/>
    </row>
    <row r="172" spans="1:9" s="3" customFormat="1" ht="75">
      <c r="A172" s="343" t="s">
        <v>640</v>
      </c>
      <c r="B172" s="120" t="s">
        <v>841</v>
      </c>
      <c r="C172" s="260" t="s">
        <v>559</v>
      </c>
      <c r="D172" s="257" t="s">
        <v>19</v>
      </c>
      <c r="E172" s="266">
        <v>1</v>
      </c>
      <c r="F172" s="259">
        <f>F173</f>
        <v>1942.94</v>
      </c>
      <c r="G172" s="259">
        <f aca="true" t="shared" si="4" ref="G172:G188">TRUNC(E172*F172,2)</f>
        <v>1942.94</v>
      </c>
      <c r="I172" s="2"/>
    </row>
    <row r="173" spans="1:9" s="3" customFormat="1" ht="75">
      <c r="A173" s="19"/>
      <c r="B173" s="433" t="s">
        <v>841</v>
      </c>
      <c r="C173" s="222" t="s">
        <v>559</v>
      </c>
      <c r="D173" s="20" t="s">
        <v>19</v>
      </c>
      <c r="E173" s="51">
        <v>1</v>
      </c>
      <c r="F173" s="22">
        <f>G189</f>
        <v>1942.94</v>
      </c>
      <c r="G173" s="22">
        <f t="shared" si="4"/>
        <v>1942.94</v>
      </c>
      <c r="I173" s="2"/>
    </row>
    <row r="174" spans="1:9" s="3" customFormat="1" ht="18.75">
      <c r="A174" s="19"/>
      <c r="B174" s="433" t="s">
        <v>366</v>
      </c>
      <c r="C174" s="222" t="s">
        <v>367</v>
      </c>
      <c r="D174" s="20" t="s">
        <v>24</v>
      </c>
      <c r="E174" s="51">
        <v>12</v>
      </c>
      <c r="F174" s="22">
        <f>TRUNC(4.9,2)</f>
        <v>4.9</v>
      </c>
      <c r="G174" s="22">
        <f t="shared" si="4"/>
        <v>58.8</v>
      </c>
      <c r="I174" s="2"/>
    </row>
    <row r="175" spans="1:9" s="3" customFormat="1" ht="18.75">
      <c r="A175" s="19"/>
      <c r="B175" s="433" t="s">
        <v>368</v>
      </c>
      <c r="C175" s="222" t="s">
        <v>369</v>
      </c>
      <c r="D175" s="20" t="s">
        <v>24</v>
      </c>
      <c r="E175" s="51">
        <v>10</v>
      </c>
      <c r="F175" s="22">
        <f>TRUNC(4.95,2)</f>
        <v>4.95</v>
      </c>
      <c r="G175" s="22">
        <f t="shared" si="4"/>
        <v>49.5</v>
      </c>
      <c r="I175" s="2"/>
    </row>
    <row r="176" spans="1:9" s="3" customFormat="1" ht="18.75">
      <c r="A176" s="19"/>
      <c r="B176" s="433" t="s">
        <v>370</v>
      </c>
      <c r="C176" s="222" t="s">
        <v>560</v>
      </c>
      <c r="D176" s="20" t="s">
        <v>19</v>
      </c>
      <c r="E176" s="51">
        <v>1</v>
      </c>
      <c r="F176" s="22">
        <f>TRUNC(280,2)</f>
        <v>280</v>
      </c>
      <c r="G176" s="22">
        <f t="shared" si="4"/>
        <v>280</v>
      </c>
      <c r="I176" s="2"/>
    </row>
    <row r="177" spans="1:9" s="3" customFormat="1" ht="18.75">
      <c r="A177" s="19"/>
      <c r="B177" s="433" t="s">
        <v>371</v>
      </c>
      <c r="C177" s="222" t="s">
        <v>372</v>
      </c>
      <c r="D177" s="20" t="s">
        <v>24</v>
      </c>
      <c r="E177" s="51">
        <v>10</v>
      </c>
      <c r="F177" s="22">
        <f>TRUNC(4.62,2)</f>
        <v>4.62</v>
      </c>
      <c r="G177" s="22">
        <f t="shared" si="4"/>
        <v>46.2</v>
      </c>
      <c r="I177" s="2"/>
    </row>
    <row r="178" spans="1:9" s="3" customFormat="1" ht="18.75">
      <c r="A178" s="19"/>
      <c r="B178" s="433" t="s">
        <v>373</v>
      </c>
      <c r="C178" s="222" t="s">
        <v>374</v>
      </c>
      <c r="D178" s="20" t="s">
        <v>24</v>
      </c>
      <c r="E178" s="51">
        <v>4</v>
      </c>
      <c r="F178" s="22">
        <f>TRUNC(4.49,2)</f>
        <v>4.49</v>
      </c>
      <c r="G178" s="22">
        <f t="shared" si="4"/>
        <v>17.96</v>
      </c>
      <c r="I178" s="2"/>
    </row>
    <row r="179" spans="1:9" s="3" customFormat="1" ht="18.75">
      <c r="A179" s="19"/>
      <c r="B179" s="433" t="s">
        <v>375</v>
      </c>
      <c r="C179" s="222" t="s">
        <v>376</v>
      </c>
      <c r="D179" s="20" t="s">
        <v>24</v>
      </c>
      <c r="E179" s="51">
        <v>12</v>
      </c>
      <c r="F179" s="22">
        <f>TRUNC(4.49,2)</f>
        <v>4.49</v>
      </c>
      <c r="G179" s="22">
        <f t="shared" si="4"/>
        <v>53.88</v>
      </c>
      <c r="I179" s="2"/>
    </row>
    <row r="180" spans="1:9" s="3" customFormat="1" ht="18.75">
      <c r="A180" s="19"/>
      <c r="B180" s="433" t="s">
        <v>377</v>
      </c>
      <c r="C180" s="222" t="s">
        <v>378</v>
      </c>
      <c r="D180" s="20" t="s">
        <v>24</v>
      </c>
      <c r="E180" s="51">
        <v>12</v>
      </c>
      <c r="F180" s="22">
        <f>TRUNC(4.71,2)</f>
        <v>4.71</v>
      </c>
      <c r="G180" s="22">
        <f t="shared" si="4"/>
        <v>56.52</v>
      </c>
      <c r="I180" s="2"/>
    </row>
    <row r="181" spans="1:9" s="3" customFormat="1" ht="18.75">
      <c r="A181" s="19"/>
      <c r="B181" s="433" t="s">
        <v>379</v>
      </c>
      <c r="C181" s="222" t="s">
        <v>380</v>
      </c>
      <c r="D181" s="20" t="s">
        <v>24</v>
      </c>
      <c r="E181" s="51">
        <v>1.8</v>
      </c>
      <c r="F181" s="22">
        <f>TRUNC(6.4,2)</f>
        <v>6.4</v>
      </c>
      <c r="G181" s="22">
        <f t="shared" si="4"/>
        <v>11.52</v>
      </c>
      <c r="I181" s="2"/>
    </row>
    <row r="182" spans="1:9" s="3" customFormat="1" ht="18.75">
      <c r="A182" s="19"/>
      <c r="B182" s="433" t="s">
        <v>50</v>
      </c>
      <c r="C182" s="222" t="s">
        <v>51</v>
      </c>
      <c r="D182" s="20" t="s">
        <v>52</v>
      </c>
      <c r="E182" s="51">
        <v>9.4245</v>
      </c>
      <c r="F182" s="22">
        <f>TRUNC(14.47,2)</f>
        <v>14.47</v>
      </c>
      <c r="G182" s="22">
        <f t="shared" si="4"/>
        <v>136.37</v>
      </c>
      <c r="I182" s="2"/>
    </row>
    <row r="183" spans="1:9" s="3" customFormat="1" ht="18.75">
      <c r="A183" s="19"/>
      <c r="B183" s="433" t="s">
        <v>842</v>
      </c>
      <c r="C183" s="222" t="s">
        <v>843</v>
      </c>
      <c r="D183" s="20" t="s">
        <v>52</v>
      </c>
      <c r="E183" s="51">
        <v>6.3345</v>
      </c>
      <c r="F183" s="22">
        <f>TRUNC(19.97,2)</f>
        <v>19.97</v>
      </c>
      <c r="G183" s="22">
        <f t="shared" si="4"/>
        <v>126.49</v>
      </c>
      <c r="I183" s="2"/>
    </row>
    <row r="184" spans="1:9" s="3" customFormat="1" ht="18.75">
      <c r="A184" s="19"/>
      <c r="B184" s="433" t="s">
        <v>815</v>
      </c>
      <c r="C184" s="222" t="s">
        <v>816</v>
      </c>
      <c r="D184" s="20" t="s">
        <v>52</v>
      </c>
      <c r="E184" s="51">
        <v>0.515</v>
      </c>
      <c r="F184" s="22">
        <f>TRUNC(19.97,2)</f>
        <v>19.97</v>
      </c>
      <c r="G184" s="22">
        <f t="shared" si="4"/>
        <v>10.28</v>
      </c>
      <c r="I184" s="2"/>
    </row>
    <row r="185" spans="1:9" s="3" customFormat="1" ht="18.75">
      <c r="A185" s="19"/>
      <c r="B185" s="433" t="s">
        <v>794</v>
      </c>
      <c r="C185" s="222" t="s">
        <v>795</v>
      </c>
      <c r="D185" s="20" t="s">
        <v>52</v>
      </c>
      <c r="E185" s="51">
        <v>0.515</v>
      </c>
      <c r="F185" s="22">
        <f>TRUNC(19.97,2)</f>
        <v>19.97</v>
      </c>
      <c r="G185" s="22">
        <f t="shared" si="4"/>
        <v>10.28</v>
      </c>
      <c r="I185" s="2"/>
    </row>
    <row r="186" spans="1:9" s="3" customFormat="1" ht="18.75">
      <c r="A186" s="19"/>
      <c r="B186" s="433" t="s">
        <v>844</v>
      </c>
      <c r="C186" s="222" t="s">
        <v>845</v>
      </c>
      <c r="D186" s="20" t="s">
        <v>15</v>
      </c>
      <c r="E186" s="51">
        <v>14</v>
      </c>
      <c r="F186" s="22">
        <f>TRUNC(77.4724,2)</f>
        <v>77.47</v>
      </c>
      <c r="G186" s="22">
        <f t="shared" si="4"/>
        <v>1084.58</v>
      </c>
      <c r="I186" s="2"/>
    </row>
    <row r="187" spans="1:9" s="3" customFormat="1" ht="18.75">
      <c r="A187" s="19"/>
      <c r="B187" s="433" t="s">
        <v>846</v>
      </c>
      <c r="C187" s="222" t="s">
        <v>847</v>
      </c>
      <c r="D187" s="20" t="s">
        <v>52</v>
      </c>
      <c r="E187" s="51">
        <v>0.805</v>
      </c>
      <c r="F187" s="22">
        <f>TRUNC(0.221,2)</f>
        <v>0.22</v>
      </c>
      <c r="G187" s="22">
        <f t="shared" si="4"/>
        <v>0.17</v>
      </c>
      <c r="I187" s="2"/>
    </row>
    <row r="188" spans="1:9" s="3" customFormat="1" ht="18.75">
      <c r="A188" s="19"/>
      <c r="B188" s="433" t="s">
        <v>848</v>
      </c>
      <c r="C188" s="222" t="s">
        <v>849</v>
      </c>
      <c r="D188" s="20" t="s">
        <v>52</v>
      </c>
      <c r="E188" s="51">
        <v>0.345</v>
      </c>
      <c r="F188" s="22">
        <f>TRUNC(1.1446,2)</f>
        <v>1.14</v>
      </c>
      <c r="G188" s="22">
        <f t="shared" si="4"/>
        <v>0.39</v>
      </c>
      <c r="I188" s="2"/>
    </row>
    <row r="189" spans="1:9" s="3" customFormat="1" ht="18.75">
      <c r="A189" s="19"/>
      <c r="B189" s="433"/>
      <c r="C189" s="222"/>
      <c r="D189" s="20"/>
      <c r="E189" s="51" t="s">
        <v>53</v>
      </c>
      <c r="F189" s="22"/>
      <c r="G189" s="22">
        <f>TRUNC(SUM(G174:G188),2)</f>
        <v>1942.94</v>
      </c>
      <c r="I189" s="2"/>
    </row>
    <row r="190" spans="1:7" ht="45">
      <c r="A190" s="254" t="s">
        <v>641</v>
      </c>
      <c r="B190" s="141" t="s">
        <v>850</v>
      </c>
      <c r="C190" s="255" t="s">
        <v>573</v>
      </c>
      <c r="D190" s="256" t="s">
        <v>15</v>
      </c>
      <c r="E190" s="256">
        <v>1</v>
      </c>
      <c r="F190" s="256">
        <f>F191</f>
        <v>48.17</v>
      </c>
      <c r="G190" s="256">
        <f aca="true" t="shared" si="5" ref="G190:G195">TRUNC(E190*F190,2)</f>
        <v>48.17</v>
      </c>
    </row>
    <row r="191" spans="1:7" ht="60">
      <c r="A191" s="61"/>
      <c r="B191" s="399" t="s">
        <v>850</v>
      </c>
      <c r="C191" s="230" t="s">
        <v>62</v>
      </c>
      <c r="D191" s="59" t="s">
        <v>15</v>
      </c>
      <c r="E191" s="59">
        <v>1</v>
      </c>
      <c r="F191" s="59">
        <f>G196</f>
        <v>48.17</v>
      </c>
      <c r="G191" s="59">
        <f t="shared" si="5"/>
        <v>48.17</v>
      </c>
    </row>
    <row r="192" spans="1:7" ht="18.75">
      <c r="A192" s="61"/>
      <c r="B192" s="399" t="s">
        <v>63</v>
      </c>
      <c r="C192" s="230" t="s">
        <v>64</v>
      </c>
      <c r="D192" s="59" t="s">
        <v>21</v>
      </c>
      <c r="E192" s="59">
        <v>27</v>
      </c>
      <c r="F192" s="59">
        <f>TRUNC(0.49,2)</f>
        <v>0.49</v>
      </c>
      <c r="G192" s="59">
        <f t="shared" si="5"/>
        <v>13.23</v>
      </c>
    </row>
    <row r="193" spans="1:7" ht="18.75">
      <c r="A193" s="61"/>
      <c r="B193" s="399" t="s">
        <v>50</v>
      </c>
      <c r="C193" s="230" t="s">
        <v>51</v>
      </c>
      <c r="D193" s="59" t="s">
        <v>52</v>
      </c>
      <c r="E193" s="59">
        <v>0.5871</v>
      </c>
      <c r="F193" s="59">
        <f>TRUNC(14.47,2)</f>
        <v>14.47</v>
      </c>
      <c r="G193" s="59">
        <f t="shared" si="5"/>
        <v>8.49</v>
      </c>
    </row>
    <row r="194" spans="1:7" ht="18.75">
      <c r="A194" s="61"/>
      <c r="B194" s="399" t="s">
        <v>794</v>
      </c>
      <c r="C194" s="230" t="s">
        <v>795</v>
      </c>
      <c r="D194" s="59" t="s">
        <v>52</v>
      </c>
      <c r="E194" s="59">
        <v>1.1536000000000002</v>
      </c>
      <c r="F194" s="59">
        <f>TRUNC(19.97,2)</f>
        <v>19.97</v>
      </c>
      <c r="G194" s="59">
        <f t="shared" si="5"/>
        <v>23.03</v>
      </c>
    </row>
    <row r="195" spans="1:7" ht="18.75">
      <c r="A195" s="61"/>
      <c r="B195" s="399" t="s">
        <v>851</v>
      </c>
      <c r="C195" s="230" t="s">
        <v>852</v>
      </c>
      <c r="D195" s="59" t="s">
        <v>19</v>
      </c>
      <c r="E195" s="59">
        <v>0.015</v>
      </c>
      <c r="F195" s="59">
        <f>TRUNC(228.1706,2)</f>
        <v>228.17</v>
      </c>
      <c r="G195" s="59">
        <f t="shared" si="5"/>
        <v>3.42</v>
      </c>
    </row>
    <row r="196" spans="1:7" ht="18.75">
      <c r="A196" s="61"/>
      <c r="B196" s="399"/>
      <c r="C196" s="230"/>
      <c r="D196" s="59"/>
      <c r="E196" s="59" t="s">
        <v>53</v>
      </c>
      <c r="F196" s="59"/>
      <c r="G196" s="59">
        <f>TRUNC(SUM(G192:G195),2)</f>
        <v>48.17</v>
      </c>
    </row>
    <row r="197" spans="1:7" ht="30">
      <c r="A197" s="254" t="s">
        <v>642</v>
      </c>
      <c r="B197" s="141" t="s">
        <v>853</v>
      </c>
      <c r="C197" s="269" t="s">
        <v>206</v>
      </c>
      <c r="D197" s="256" t="s">
        <v>15</v>
      </c>
      <c r="E197" s="256">
        <v>1</v>
      </c>
      <c r="F197" s="256">
        <f>F198</f>
        <v>3.43</v>
      </c>
      <c r="G197" s="256">
        <f>TRUNC(E197*F197,2)</f>
        <v>3.43</v>
      </c>
    </row>
    <row r="198" spans="1:7" ht="30">
      <c r="A198" s="61"/>
      <c r="B198" s="399" t="s">
        <v>853</v>
      </c>
      <c r="C198" s="267" t="s">
        <v>206</v>
      </c>
      <c r="D198" s="59" t="s">
        <v>15</v>
      </c>
      <c r="E198" s="59">
        <v>1</v>
      </c>
      <c r="F198" s="59">
        <f>G202</f>
        <v>3.43</v>
      </c>
      <c r="G198" s="59">
        <f>TRUNC(E198*F198,2)</f>
        <v>3.43</v>
      </c>
    </row>
    <row r="199" spans="1:7" ht="18.75">
      <c r="A199" s="61"/>
      <c r="B199" s="399" t="s">
        <v>54</v>
      </c>
      <c r="C199" s="267" t="s">
        <v>55</v>
      </c>
      <c r="D199" s="59" t="s">
        <v>52</v>
      </c>
      <c r="E199" s="59">
        <v>0.007</v>
      </c>
      <c r="F199" s="59">
        <f>TRUNC(21.24,2)</f>
        <v>21.24</v>
      </c>
      <c r="G199" s="59">
        <f>TRUNC(E199*F199,2)</f>
        <v>0.14</v>
      </c>
    </row>
    <row r="200" spans="1:7" ht="18.75">
      <c r="A200" s="61"/>
      <c r="B200" s="399" t="s">
        <v>118</v>
      </c>
      <c r="C200" s="267" t="s">
        <v>119</v>
      </c>
      <c r="D200" s="59" t="s">
        <v>52</v>
      </c>
      <c r="E200" s="59">
        <v>0.07</v>
      </c>
      <c r="F200" s="59">
        <f>TRUNC(26.95,2)</f>
        <v>26.95</v>
      </c>
      <c r="G200" s="59">
        <f>TRUNC(E200*F200,2)</f>
        <v>1.88</v>
      </c>
    </row>
    <row r="201" spans="1:7" ht="30">
      <c r="A201" s="61"/>
      <c r="B201" s="399" t="s">
        <v>854</v>
      </c>
      <c r="C201" s="267" t="s">
        <v>855</v>
      </c>
      <c r="D201" s="59" t="s">
        <v>19</v>
      </c>
      <c r="E201" s="59">
        <v>0.0042</v>
      </c>
      <c r="F201" s="59">
        <f>TRUNC(338.03,2)</f>
        <v>338.03</v>
      </c>
      <c r="G201" s="59">
        <f>TRUNC(E201*F201,2)</f>
        <v>1.41</v>
      </c>
    </row>
    <row r="202" spans="1:7" ht="18.75">
      <c r="A202" s="61"/>
      <c r="B202" s="399"/>
      <c r="C202" s="267"/>
      <c r="D202" s="59"/>
      <c r="E202" s="59" t="s">
        <v>53</v>
      </c>
      <c r="F202" s="59"/>
      <c r="G202" s="59">
        <f>TRUNC(SUM(G199:G201),2)</f>
        <v>3.43</v>
      </c>
    </row>
    <row r="203" spans="1:7" ht="45">
      <c r="A203" s="254" t="s">
        <v>643</v>
      </c>
      <c r="B203" s="139" t="s">
        <v>860</v>
      </c>
      <c r="C203" s="268" t="s">
        <v>754</v>
      </c>
      <c r="D203" s="256" t="s">
        <v>15</v>
      </c>
      <c r="E203" s="256">
        <v>1</v>
      </c>
      <c r="F203" s="256">
        <f>F204</f>
        <v>31.24</v>
      </c>
      <c r="G203" s="256">
        <f>TRUNC(E203*F203,2)</f>
        <v>31.24</v>
      </c>
    </row>
    <row r="204" spans="1:7" ht="45">
      <c r="A204" s="61"/>
      <c r="B204" s="252" t="s">
        <v>856</v>
      </c>
      <c r="C204" s="372" t="s">
        <v>857</v>
      </c>
      <c r="D204" s="59" t="s">
        <v>15</v>
      </c>
      <c r="E204" s="59">
        <v>1</v>
      </c>
      <c r="F204" s="59">
        <f>G208</f>
        <v>31.24</v>
      </c>
      <c r="G204" s="59">
        <f>TRUNC(E204*F204,2)</f>
        <v>31.24</v>
      </c>
    </row>
    <row r="205" spans="1:7" ht="18.75">
      <c r="A205" s="61"/>
      <c r="B205" s="252" t="s">
        <v>54</v>
      </c>
      <c r="C205" s="372" t="s">
        <v>55</v>
      </c>
      <c r="D205" s="59" t="s">
        <v>52</v>
      </c>
      <c r="E205" s="59">
        <v>0.171</v>
      </c>
      <c r="F205" s="59">
        <f>TRUNC(21.24,2)</f>
        <v>21.24</v>
      </c>
      <c r="G205" s="59">
        <f>TRUNC(E205*F205,2)</f>
        <v>3.63</v>
      </c>
    </row>
    <row r="206" spans="1:7" ht="18.75">
      <c r="A206" s="61"/>
      <c r="B206" s="252" t="s">
        <v>118</v>
      </c>
      <c r="C206" s="372" t="s">
        <v>119</v>
      </c>
      <c r="D206" s="59" t="s">
        <v>52</v>
      </c>
      <c r="E206" s="59">
        <v>0.47</v>
      </c>
      <c r="F206" s="59">
        <f>TRUNC(26.95,2)</f>
        <v>26.95</v>
      </c>
      <c r="G206" s="59">
        <f>TRUNC(E206*F206,2)</f>
        <v>12.66</v>
      </c>
    </row>
    <row r="207" spans="1:7" ht="45">
      <c r="A207" s="61"/>
      <c r="B207" s="252" t="s">
        <v>858</v>
      </c>
      <c r="C207" s="372" t="s">
        <v>859</v>
      </c>
      <c r="D207" s="59" t="s">
        <v>19</v>
      </c>
      <c r="E207" s="59">
        <v>0.0376</v>
      </c>
      <c r="F207" s="59">
        <f>TRUNC(397.84,2)</f>
        <v>397.84</v>
      </c>
      <c r="G207" s="59">
        <f>TRUNC(E207*F207,2)</f>
        <v>14.95</v>
      </c>
    </row>
    <row r="208" spans="1:7" ht="18.75">
      <c r="A208" s="61"/>
      <c r="B208" s="252"/>
      <c r="C208" s="372"/>
      <c r="D208" s="59"/>
      <c r="E208" s="59" t="s">
        <v>53</v>
      </c>
      <c r="F208" s="59"/>
      <c r="G208" s="59">
        <f>TRUNC(SUM(G205:G207),2)</f>
        <v>31.24</v>
      </c>
    </row>
    <row r="209" spans="1:9" s="3" customFormat="1" ht="30">
      <c r="A209" s="344" t="s">
        <v>644</v>
      </c>
      <c r="B209" s="435" t="s">
        <v>861</v>
      </c>
      <c r="C209" s="268" t="s">
        <v>198</v>
      </c>
      <c r="D209" s="273" t="s">
        <v>15</v>
      </c>
      <c r="E209" s="274">
        <v>1</v>
      </c>
      <c r="F209" s="275">
        <f>F210</f>
        <v>414.12</v>
      </c>
      <c r="G209" s="275">
        <f aca="true" t="shared" si="6" ref="G209:G216">TRUNC(E209*F209,2)</f>
        <v>414.12</v>
      </c>
      <c r="I209" s="2"/>
    </row>
    <row r="210" spans="1:9" s="3" customFormat="1" ht="30">
      <c r="A210" s="345"/>
      <c r="B210" s="436" t="s">
        <v>861</v>
      </c>
      <c r="C210" s="276" t="s">
        <v>198</v>
      </c>
      <c r="D210" s="271" t="s">
        <v>15</v>
      </c>
      <c r="E210" s="272">
        <v>1</v>
      </c>
      <c r="F210" s="22">
        <f>G217</f>
        <v>414.12</v>
      </c>
      <c r="G210" s="22">
        <f t="shared" si="6"/>
        <v>414.12</v>
      </c>
      <c r="I210" s="2"/>
    </row>
    <row r="211" spans="1:9" s="3" customFormat="1" ht="30">
      <c r="A211" s="345"/>
      <c r="B211" s="436" t="s">
        <v>862</v>
      </c>
      <c r="C211" s="276" t="s">
        <v>199</v>
      </c>
      <c r="D211" s="271" t="s">
        <v>21</v>
      </c>
      <c r="E211" s="272">
        <v>0.5473</v>
      </c>
      <c r="F211" s="22">
        <f>TRUNC(586.69,2)</f>
        <v>586.69</v>
      </c>
      <c r="G211" s="22">
        <f t="shared" si="6"/>
        <v>321.09</v>
      </c>
      <c r="I211" s="2"/>
    </row>
    <row r="212" spans="1:9" s="3" customFormat="1" ht="30">
      <c r="A212" s="345"/>
      <c r="B212" s="436" t="s">
        <v>863</v>
      </c>
      <c r="C212" s="276" t="s">
        <v>200</v>
      </c>
      <c r="D212" s="271" t="s">
        <v>18</v>
      </c>
      <c r="E212" s="272">
        <v>6.8504</v>
      </c>
      <c r="F212" s="22">
        <f>TRUNC(6.95,2)</f>
        <v>6.95</v>
      </c>
      <c r="G212" s="22">
        <f t="shared" si="6"/>
        <v>47.61</v>
      </c>
      <c r="I212" s="2"/>
    </row>
    <row r="213" spans="1:9" s="3" customFormat="1" ht="30">
      <c r="A213" s="345"/>
      <c r="B213" s="436" t="s">
        <v>864</v>
      </c>
      <c r="C213" s="276" t="s">
        <v>201</v>
      </c>
      <c r="D213" s="271" t="s">
        <v>21</v>
      </c>
      <c r="E213" s="272">
        <v>4.8166</v>
      </c>
      <c r="F213" s="22">
        <f>TRUNC(0.3,2)</f>
        <v>0.3</v>
      </c>
      <c r="G213" s="22">
        <f t="shared" si="6"/>
        <v>1.44</v>
      </c>
      <c r="I213" s="2"/>
    </row>
    <row r="214" spans="1:9" s="3" customFormat="1" ht="18.75">
      <c r="A214" s="345"/>
      <c r="B214" s="436" t="s">
        <v>865</v>
      </c>
      <c r="C214" s="276" t="s">
        <v>78</v>
      </c>
      <c r="D214" s="271" t="s">
        <v>79</v>
      </c>
      <c r="E214" s="272">
        <v>0.8829</v>
      </c>
      <c r="F214" s="22">
        <f>TRUNC(33.55,2)</f>
        <v>33.55</v>
      </c>
      <c r="G214" s="22">
        <f t="shared" si="6"/>
        <v>29.62</v>
      </c>
      <c r="I214" s="2"/>
    </row>
    <row r="215" spans="1:9" s="3" customFormat="1" ht="18.75">
      <c r="A215" s="345"/>
      <c r="B215" s="436" t="s">
        <v>54</v>
      </c>
      <c r="C215" s="276" t="s">
        <v>55</v>
      </c>
      <c r="D215" s="271" t="s">
        <v>52</v>
      </c>
      <c r="E215" s="272">
        <v>0.191</v>
      </c>
      <c r="F215" s="22">
        <f>TRUNC(21.24,2)</f>
        <v>21.24</v>
      </c>
      <c r="G215" s="22">
        <f t="shared" si="6"/>
        <v>4.05</v>
      </c>
      <c r="I215" s="2"/>
    </row>
    <row r="216" spans="1:9" s="3" customFormat="1" ht="18.75">
      <c r="A216" s="345"/>
      <c r="B216" s="436" t="s">
        <v>118</v>
      </c>
      <c r="C216" s="276" t="s">
        <v>119</v>
      </c>
      <c r="D216" s="271" t="s">
        <v>52</v>
      </c>
      <c r="E216" s="272">
        <v>0.3826</v>
      </c>
      <c r="F216" s="22">
        <f>TRUNC(26.95,2)</f>
        <v>26.95</v>
      </c>
      <c r="G216" s="22">
        <f t="shared" si="6"/>
        <v>10.31</v>
      </c>
      <c r="I216" s="2"/>
    </row>
    <row r="217" spans="1:9" s="3" customFormat="1" ht="18.75">
      <c r="A217" s="345"/>
      <c r="B217" s="436"/>
      <c r="C217" s="276"/>
      <c r="D217" s="271"/>
      <c r="E217" s="272" t="s">
        <v>53</v>
      </c>
      <c r="F217" s="22"/>
      <c r="G217" s="22">
        <f>TRUNC(SUM(G211:G216),2)</f>
        <v>414.12</v>
      </c>
      <c r="I217" s="2"/>
    </row>
    <row r="218" spans="1:7" ht="30">
      <c r="A218" s="28" t="s">
        <v>645</v>
      </c>
      <c r="B218" s="97" t="s">
        <v>866</v>
      </c>
      <c r="C218" s="277" t="s">
        <v>272</v>
      </c>
      <c r="D218" s="15" t="s">
        <v>21</v>
      </c>
      <c r="E218" s="15">
        <v>1</v>
      </c>
      <c r="F218" s="15">
        <f>F219</f>
        <v>159.71</v>
      </c>
      <c r="G218" s="15">
        <f aca="true" t="shared" si="7" ref="G218:G223">TRUNC(E218*F218,2)</f>
        <v>159.71</v>
      </c>
    </row>
    <row r="219" spans="1:7" ht="30">
      <c r="A219" s="25"/>
      <c r="B219" s="111" t="s">
        <v>866</v>
      </c>
      <c r="C219" s="57" t="s">
        <v>272</v>
      </c>
      <c r="D219" s="10" t="s">
        <v>21</v>
      </c>
      <c r="E219" s="10">
        <v>1</v>
      </c>
      <c r="F219" s="10">
        <f>G224</f>
        <v>159.71</v>
      </c>
      <c r="G219" s="10">
        <f t="shared" si="7"/>
        <v>159.71</v>
      </c>
    </row>
    <row r="220" spans="1:7" ht="30">
      <c r="A220" s="25"/>
      <c r="B220" s="111" t="s">
        <v>867</v>
      </c>
      <c r="C220" s="57" t="s">
        <v>273</v>
      </c>
      <c r="D220" s="10" t="s">
        <v>21</v>
      </c>
      <c r="E220" s="10">
        <v>1</v>
      </c>
      <c r="F220" s="10">
        <f>TRUNC(144.47,2)</f>
        <v>144.47</v>
      </c>
      <c r="G220" s="10">
        <f t="shared" si="7"/>
        <v>144.47</v>
      </c>
    </row>
    <row r="221" spans="1:7" ht="18.75">
      <c r="A221" s="25"/>
      <c r="B221" s="111" t="s">
        <v>868</v>
      </c>
      <c r="C221" s="57" t="s">
        <v>274</v>
      </c>
      <c r="D221" s="10" t="s">
        <v>21</v>
      </c>
      <c r="E221" s="10">
        <v>1</v>
      </c>
      <c r="F221" s="10">
        <f>TRUNC(2.62,2)</f>
        <v>2.62</v>
      </c>
      <c r="G221" s="10">
        <f t="shared" si="7"/>
        <v>2.62</v>
      </c>
    </row>
    <row r="222" spans="1:7" ht="18.75">
      <c r="A222" s="25"/>
      <c r="B222" s="111" t="s">
        <v>869</v>
      </c>
      <c r="C222" s="57" t="s">
        <v>275</v>
      </c>
      <c r="D222" s="10" t="s">
        <v>52</v>
      </c>
      <c r="E222" s="10">
        <v>0.25</v>
      </c>
      <c r="F222" s="10">
        <f>TRUNC(28.09,2)</f>
        <v>28.09</v>
      </c>
      <c r="G222" s="10">
        <f t="shared" si="7"/>
        <v>7.02</v>
      </c>
    </row>
    <row r="223" spans="1:7" ht="18.75">
      <c r="A223" s="25"/>
      <c r="B223" s="111" t="s">
        <v>833</v>
      </c>
      <c r="C223" s="57" t="s">
        <v>276</v>
      </c>
      <c r="D223" s="10" t="s">
        <v>52</v>
      </c>
      <c r="E223" s="10">
        <v>0.25</v>
      </c>
      <c r="F223" s="10">
        <f>TRUNC(22.41,2)</f>
        <v>22.41</v>
      </c>
      <c r="G223" s="10">
        <f t="shared" si="7"/>
        <v>5.6</v>
      </c>
    </row>
    <row r="224" spans="1:7" ht="18.75">
      <c r="A224" s="25"/>
      <c r="B224" s="111"/>
      <c r="C224" s="57"/>
      <c r="D224" s="10"/>
      <c r="E224" s="10" t="s">
        <v>53</v>
      </c>
      <c r="F224" s="10"/>
      <c r="G224" s="10">
        <f>TRUNC(SUM(G220:G223),2)</f>
        <v>159.71</v>
      </c>
    </row>
    <row r="225" spans="1:7" ht="18.75">
      <c r="A225" s="28" t="s">
        <v>646</v>
      </c>
      <c r="B225" s="97" t="s">
        <v>870</v>
      </c>
      <c r="C225" s="278" t="s">
        <v>343</v>
      </c>
      <c r="D225" s="15" t="s">
        <v>15</v>
      </c>
      <c r="E225" s="15">
        <v>1</v>
      </c>
      <c r="F225" s="15">
        <f>F226</f>
        <v>2.47</v>
      </c>
      <c r="G225" s="15">
        <f>TRUNC(E225*F225,2)</f>
        <v>2.47</v>
      </c>
    </row>
    <row r="226" spans="1:7" ht="18.75">
      <c r="A226" s="25"/>
      <c r="B226" s="111" t="s">
        <v>870</v>
      </c>
      <c r="C226" s="221" t="s">
        <v>343</v>
      </c>
      <c r="D226" s="10" t="s">
        <v>15</v>
      </c>
      <c r="E226" s="10">
        <v>1</v>
      </c>
      <c r="F226" s="10">
        <f>G230</f>
        <v>2.47</v>
      </c>
      <c r="G226" s="10">
        <f>TRUNC(E226*F226,2)</f>
        <v>2.47</v>
      </c>
    </row>
    <row r="227" spans="1:7" ht="18.75">
      <c r="A227" s="25"/>
      <c r="B227" s="111" t="s">
        <v>871</v>
      </c>
      <c r="C227" s="221" t="s">
        <v>344</v>
      </c>
      <c r="D227" s="10" t="s">
        <v>61</v>
      </c>
      <c r="E227" s="10">
        <v>0.16</v>
      </c>
      <c r="F227" s="10">
        <f>TRUNC(7.23,2)</f>
        <v>7.23</v>
      </c>
      <c r="G227" s="10">
        <f>TRUNC(E227*F227,2)</f>
        <v>1.15</v>
      </c>
    </row>
    <row r="228" spans="1:7" ht="18.75">
      <c r="A228" s="25"/>
      <c r="B228" s="111" t="s">
        <v>54</v>
      </c>
      <c r="C228" s="221" t="s">
        <v>55</v>
      </c>
      <c r="D228" s="10" t="s">
        <v>52</v>
      </c>
      <c r="E228" s="10">
        <v>0.014</v>
      </c>
      <c r="F228" s="10">
        <f>TRUNC(21.24,2)</f>
        <v>21.24</v>
      </c>
      <c r="G228" s="10">
        <f>TRUNC(E228*F228,2)</f>
        <v>0.29</v>
      </c>
    </row>
    <row r="229" spans="1:7" ht="18.75">
      <c r="A229" s="25"/>
      <c r="B229" s="111" t="s">
        <v>177</v>
      </c>
      <c r="C229" s="221" t="s">
        <v>178</v>
      </c>
      <c r="D229" s="10" t="s">
        <v>52</v>
      </c>
      <c r="E229" s="10">
        <v>0.039</v>
      </c>
      <c r="F229" s="10">
        <f>TRUNC(26.61,2)</f>
        <v>26.61</v>
      </c>
      <c r="G229" s="10">
        <f>TRUNC(E229*F229,2)</f>
        <v>1.03</v>
      </c>
    </row>
    <row r="230" spans="1:7" ht="18.75">
      <c r="A230" s="25"/>
      <c r="B230" s="111"/>
      <c r="C230" s="221"/>
      <c r="D230" s="10"/>
      <c r="E230" s="10" t="s">
        <v>53</v>
      </c>
      <c r="F230" s="10"/>
      <c r="G230" s="10">
        <f>TRUNC(SUM(G227:G229),2)</f>
        <v>2.47</v>
      </c>
    </row>
    <row r="231" spans="1:7" ht="30">
      <c r="A231" s="28" t="s">
        <v>647</v>
      </c>
      <c r="B231" s="97" t="s">
        <v>872</v>
      </c>
      <c r="C231" s="277" t="s">
        <v>40</v>
      </c>
      <c r="D231" s="15" t="s">
        <v>15</v>
      </c>
      <c r="E231" s="8">
        <v>1</v>
      </c>
      <c r="F231" s="8">
        <f>F232</f>
        <v>14.82</v>
      </c>
      <c r="G231" s="8">
        <f>TRUNC(E231*F231,2)</f>
        <v>14.82</v>
      </c>
    </row>
    <row r="232" spans="1:7" ht="30">
      <c r="A232" s="25"/>
      <c r="B232" s="111" t="s">
        <v>872</v>
      </c>
      <c r="C232" s="57" t="s">
        <v>40</v>
      </c>
      <c r="D232" s="10" t="s">
        <v>15</v>
      </c>
      <c r="E232" s="373">
        <v>1</v>
      </c>
      <c r="F232" s="373">
        <f>G236</f>
        <v>14.82</v>
      </c>
      <c r="G232" s="373">
        <f>TRUNC(E232*F232,2)</f>
        <v>14.82</v>
      </c>
    </row>
    <row r="233" spans="1:7" ht="18.75">
      <c r="A233" s="25"/>
      <c r="B233" s="111" t="s">
        <v>873</v>
      </c>
      <c r="C233" s="57" t="s">
        <v>179</v>
      </c>
      <c r="D233" s="10" t="s">
        <v>61</v>
      </c>
      <c r="E233" s="373">
        <v>0.2</v>
      </c>
      <c r="F233" s="373">
        <f>TRUNC(19.27,2)</f>
        <v>19.27</v>
      </c>
      <c r="G233" s="373">
        <f>TRUNC(E233*F233,2)</f>
        <v>3.85</v>
      </c>
    </row>
    <row r="234" spans="1:7" ht="18.75">
      <c r="A234" s="25"/>
      <c r="B234" s="111" t="s">
        <v>54</v>
      </c>
      <c r="C234" s="57" t="s">
        <v>55</v>
      </c>
      <c r="D234" s="10" t="s">
        <v>52</v>
      </c>
      <c r="E234" s="373">
        <v>0.086</v>
      </c>
      <c r="F234" s="373">
        <f>TRUNC(21.24,2)</f>
        <v>21.24</v>
      </c>
      <c r="G234" s="373">
        <f>TRUNC(E234*F234,2)</f>
        <v>1.82</v>
      </c>
    </row>
    <row r="235" spans="1:7" ht="18.75">
      <c r="A235" s="25"/>
      <c r="B235" s="111" t="s">
        <v>177</v>
      </c>
      <c r="C235" s="57" t="s">
        <v>178</v>
      </c>
      <c r="D235" s="10" t="s">
        <v>52</v>
      </c>
      <c r="E235" s="373">
        <v>0.344</v>
      </c>
      <c r="F235" s="373">
        <f>TRUNC(26.61,2)</f>
        <v>26.61</v>
      </c>
      <c r="G235" s="373">
        <f>TRUNC(E235*F235,2)</f>
        <v>9.15</v>
      </c>
    </row>
    <row r="236" spans="1:7" ht="18.75">
      <c r="A236" s="25"/>
      <c r="B236" s="111"/>
      <c r="C236" s="57"/>
      <c r="D236" s="10"/>
      <c r="E236" s="373" t="s">
        <v>53</v>
      </c>
      <c r="F236" s="373"/>
      <c r="G236" s="373">
        <f>TRUNC(SUM(G233:G235),2)</f>
        <v>14.82</v>
      </c>
    </row>
    <row r="237" spans="1:9" s="3" customFormat="1" ht="20.25">
      <c r="A237" s="279" t="s">
        <v>648</v>
      </c>
      <c r="B237" s="437"/>
      <c r="C237" s="280" t="s">
        <v>25</v>
      </c>
      <c r="D237" s="281"/>
      <c r="E237" s="282"/>
      <c r="F237" s="283"/>
      <c r="G237" s="283"/>
      <c r="I237" s="2"/>
    </row>
    <row r="238" spans="1:7" ht="45">
      <c r="A238" s="254" t="s">
        <v>649</v>
      </c>
      <c r="B238" s="141" t="s">
        <v>850</v>
      </c>
      <c r="C238" s="255" t="s">
        <v>573</v>
      </c>
      <c r="D238" s="256" t="s">
        <v>15</v>
      </c>
      <c r="E238" s="256">
        <v>1</v>
      </c>
      <c r="F238" s="256">
        <f>F239</f>
        <v>48.17</v>
      </c>
      <c r="G238" s="256">
        <f aca="true" t="shared" si="8" ref="G238:G243">TRUNC(E238*F238,2)</f>
        <v>48.17</v>
      </c>
    </row>
    <row r="239" spans="1:7" ht="60">
      <c r="A239" s="17"/>
      <c r="B239" s="433" t="s">
        <v>850</v>
      </c>
      <c r="C239" s="219" t="s">
        <v>62</v>
      </c>
      <c r="D239" s="2" t="s">
        <v>15</v>
      </c>
      <c r="E239" s="2">
        <v>1</v>
      </c>
      <c r="F239" s="2">
        <f>G244</f>
        <v>48.17</v>
      </c>
      <c r="G239" s="2">
        <f t="shared" si="8"/>
        <v>48.17</v>
      </c>
    </row>
    <row r="240" spans="1:7" ht="18.75">
      <c r="A240" s="17"/>
      <c r="B240" s="433" t="s">
        <v>63</v>
      </c>
      <c r="C240" s="219" t="s">
        <v>64</v>
      </c>
      <c r="D240" s="2" t="s">
        <v>21</v>
      </c>
      <c r="E240" s="2">
        <v>27</v>
      </c>
      <c r="F240" s="2">
        <f>TRUNC(0.49,2)</f>
        <v>0.49</v>
      </c>
      <c r="G240" s="2">
        <f t="shared" si="8"/>
        <v>13.23</v>
      </c>
    </row>
    <row r="241" spans="1:7" ht="18.75">
      <c r="A241" s="17"/>
      <c r="B241" s="433" t="s">
        <v>50</v>
      </c>
      <c r="C241" s="219" t="s">
        <v>51</v>
      </c>
      <c r="D241" s="2" t="s">
        <v>52</v>
      </c>
      <c r="E241" s="2">
        <v>0.5871</v>
      </c>
      <c r="F241" s="2">
        <f>TRUNC(14.47,2)</f>
        <v>14.47</v>
      </c>
      <c r="G241" s="2">
        <f t="shared" si="8"/>
        <v>8.49</v>
      </c>
    </row>
    <row r="242" spans="1:7" ht="18.75">
      <c r="A242" s="17"/>
      <c r="B242" s="433" t="s">
        <v>794</v>
      </c>
      <c r="C242" s="219" t="s">
        <v>795</v>
      </c>
      <c r="D242" s="2" t="s">
        <v>52</v>
      </c>
      <c r="E242" s="2">
        <v>1.1536000000000002</v>
      </c>
      <c r="F242" s="2">
        <f>TRUNC(19.97,2)</f>
        <v>19.97</v>
      </c>
      <c r="G242" s="2">
        <f t="shared" si="8"/>
        <v>23.03</v>
      </c>
    </row>
    <row r="243" spans="1:7" ht="18.75">
      <c r="A243" s="17"/>
      <c r="B243" s="433" t="s">
        <v>851</v>
      </c>
      <c r="C243" s="219" t="s">
        <v>852</v>
      </c>
      <c r="D243" s="2" t="s">
        <v>19</v>
      </c>
      <c r="E243" s="2">
        <v>0.015</v>
      </c>
      <c r="F243" s="2">
        <f>TRUNC(228.1706,2)</f>
        <v>228.17</v>
      </c>
      <c r="G243" s="2">
        <f t="shared" si="8"/>
        <v>3.42</v>
      </c>
    </row>
    <row r="244" spans="1:7" ht="18.75">
      <c r="A244" s="17"/>
      <c r="B244" s="433"/>
      <c r="E244" s="2" t="s">
        <v>53</v>
      </c>
      <c r="G244" s="2">
        <f>TRUNC(SUM(G240:G243),2)</f>
        <v>48.17</v>
      </c>
    </row>
    <row r="245" spans="1:7" ht="37.5" customHeight="1">
      <c r="A245" s="254" t="s">
        <v>650</v>
      </c>
      <c r="B245" s="438" t="s">
        <v>874</v>
      </c>
      <c r="C245" s="326" t="s">
        <v>189</v>
      </c>
      <c r="D245" s="256" t="s">
        <v>18</v>
      </c>
      <c r="E245" s="256">
        <v>1</v>
      </c>
      <c r="F245" s="256">
        <f>F246</f>
        <v>47.49</v>
      </c>
      <c r="G245" s="256">
        <f aca="true" t="shared" si="9" ref="G245:G254">TRUNC(E245*F245,2)</f>
        <v>47.49</v>
      </c>
    </row>
    <row r="246" spans="1:7" ht="18.75">
      <c r="A246" s="61"/>
      <c r="B246" s="439" t="s">
        <v>874</v>
      </c>
      <c r="C246" s="374" t="s">
        <v>189</v>
      </c>
      <c r="D246" s="59" t="s">
        <v>18</v>
      </c>
      <c r="E246" s="59">
        <v>1</v>
      </c>
      <c r="F246" s="59">
        <f>G255</f>
        <v>47.49</v>
      </c>
      <c r="G246" s="59">
        <f t="shared" si="9"/>
        <v>47.49</v>
      </c>
    </row>
    <row r="247" spans="1:7" ht="30">
      <c r="A247" s="61"/>
      <c r="B247" s="439" t="s">
        <v>875</v>
      </c>
      <c r="C247" s="374" t="s">
        <v>190</v>
      </c>
      <c r="D247" s="59" t="s">
        <v>21</v>
      </c>
      <c r="E247" s="59">
        <v>6</v>
      </c>
      <c r="F247" s="59">
        <f>TRUNC(0.27,2)</f>
        <v>0.27</v>
      </c>
      <c r="G247" s="59">
        <f t="shared" si="9"/>
        <v>1.62</v>
      </c>
    </row>
    <row r="248" spans="1:7" ht="30">
      <c r="A248" s="61"/>
      <c r="B248" s="439" t="s">
        <v>829</v>
      </c>
      <c r="C248" s="374" t="s">
        <v>774</v>
      </c>
      <c r="D248" s="59" t="s">
        <v>18</v>
      </c>
      <c r="E248" s="59">
        <v>1.222</v>
      </c>
      <c r="F248" s="59">
        <f>TRUNC(4.17,2)</f>
        <v>4.17</v>
      </c>
      <c r="G248" s="59">
        <f t="shared" si="9"/>
        <v>5.09</v>
      </c>
    </row>
    <row r="249" spans="1:7" ht="30">
      <c r="A249" s="61"/>
      <c r="B249" s="439" t="s">
        <v>876</v>
      </c>
      <c r="C249" s="374" t="s">
        <v>191</v>
      </c>
      <c r="D249" s="59" t="s">
        <v>61</v>
      </c>
      <c r="E249" s="59">
        <v>0.005</v>
      </c>
      <c r="F249" s="59">
        <f>TRUNC(6.6,2)</f>
        <v>6.6</v>
      </c>
      <c r="G249" s="59">
        <f t="shared" si="9"/>
        <v>0.03</v>
      </c>
    </row>
    <row r="250" spans="1:7" ht="18.75">
      <c r="A250" s="61"/>
      <c r="B250" s="439" t="s">
        <v>54</v>
      </c>
      <c r="C250" s="374" t="s">
        <v>55</v>
      </c>
      <c r="D250" s="59" t="s">
        <v>52</v>
      </c>
      <c r="E250" s="59">
        <v>0.193</v>
      </c>
      <c r="F250" s="59">
        <f>TRUNC(21.24,2)</f>
        <v>21.24</v>
      </c>
      <c r="G250" s="59">
        <f t="shared" si="9"/>
        <v>4.09</v>
      </c>
    </row>
    <row r="251" spans="1:7" ht="18.75">
      <c r="A251" s="61"/>
      <c r="B251" s="439" t="s">
        <v>118</v>
      </c>
      <c r="C251" s="374" t="s">
        <v>119</v>
      </c>
      <c r="D251" s="59" t="s">
        <v>52</v>
      </c>
      <c r="E251" s="59">
        <v>0.386</v>
      </c>
      <c r="F251" s="59">
        <f>TRUNC(26.95,2)</f>
        <v>26.95</v>
      </c>
      <c r="G251" s="59">
        <f t="shared" si="9"/>
        <v>10.4</v>
      </c>
    </row>
    <row r="252" spans="1:7" ht="30">
      <c r="A252" s="61"/>
      <c r="B252" s="439" t="s">
        <v>834</v>
      </c>
      <c r="C252" s="374" t="s">
        <v>192</v>
      </c>
      <c r="D252" s="59" t="s">
        <v>19</v>
      </c>
      <c r="E252" s="59">
        <v>0.012</v>
      </c>
      <c r="F252" s="59">
        <f>TRUNC(285.91,2)</f>
        <v>285.91</v>
      </c>
      <c r="G252" s="59">
        <f t="shared" si="9"/>
        <v>3.43</v>
      </c>
    </row>
    <row r="253" spans="1:7" ht="30">
      <c r="A253" s="61"/>
      <c r="B253" s="439" t="s">
        <v>877</v>
      </c>
      <c r="C253" s="374" t="s">
        <v>193</v>
      </c>
      <c r="D253" s="59" t="s">
        <v>24</v>
      </c>
      <c r="E253" s="59">
        <v>0.308</v>
      </c>
      <c r="F253" s="59">
        <f>TRUNC(7.52,2)</f>
        <v>7.52</v>
      </c>
      <c r="G253" s="59">
        <f t="shared" si="9"/>
        <v>2.31</v>
      </c>
    </row>
    <row r="254" spans="1:7" ht="30">
      <c r="A254" s="61"/>
      <c r="B254" s="439" t="s">
        <v>878</v>
      </c>
      <c r="C254" s="374" t="s">
        <v>194</v>
      </c>
      <c r="D254" s="59" t="s">
        <v>15</v>
      </c>
      <c r="E254" s="59">
        <v>0.3</v>
      </c>
      <c r="F254" s="59">
        <f>TRUNC(68.42,2)</f>
        <v>68.42</v>
      </c>
      <c r="G254" s="59">
        <f t="shared" si="9"/>
        <v>20.52</v>
      </c>
    </row>
    <row r="255" spans="1:7" ht="18.75">
      <c r="A255" s="61"/>
      <c r="B255" s="439"/>
      <c r="C255" s="374"/>
      <c r="D255" s="59"/>
      <c r="E255" s="59" t="s">
        <v>53</v>
      </c>
      <c r="F255" s="59"/>
      <c r="G255" s="59">
        <f>TRUNC(SUM(G247:G254),2)</f>
        <v>47.49</v>
      </c>
    </row>
    <row r="256" spans="1:7" ht="18.75">
      <c r="A256" s="243" t="s">
        <v>651</v>
      </c>
      <c r="B256" s="348"/>
      <c r="C256" s="262" t="s">
        <v>67</v>
      </c>
      <c r="D256" s="241"/>
      <c r="E256" s="241"/>
      <c r="F256" s="241"/>
      <c r="G256" s="241"/>
    </row>
    <row r="257" spans="1:7" ht="45">
      <c r="A257" s="357" t="s">
        <v>652</v>
      </c>
      <c r="B257" s="358" t="s">
        <v>879</v>
      </c>
      <c r="C257" s="359" t="s">
        <v>574</v>
      </c>
      <c r="D257" s="360" t="s">
        <v>15</v>
      </c>
      <c r="E257" s="360">
        <v>1</v>
      </c>
      <c r="F257" s="360">
        <f>F258</f>
        <v>31.15</v>
      </c>
      <c r="G257" s="360">
        <f aca="true" t="shared" si="10" ref="G257:G263">TRUNC(E257*F257,2)</f>
        <v>31.15</v>
      </c>
    </row>
    <row r="258" spans="1:7" ht="60">
      <c r="A258" s="293"/>
      <c r="B258" s="369" t="s">
        <v>879</v>
      </c>
      <c r="C258" s="294" t="s">
        <v>880</v>
      </c>
      <c r="D258" s="295" t="s">
        <v>15</v>
      </c>
      <c r="E258" s="295">
        <v>1</v>
      </c>
      <c r="F258" s="295">
        <f>G264</f>
        <v>31.15</v>
      </c>
      <c r="G258" s="296">
        <f t="shared" si="10"/>
        <v>31.15</v>
      </c>
    </row>
    <row r="259" spans="1:7" ht="30">
      <c r="A259" s="297"/>
      <c r="B259" s="252" t="s">
        <v>41</v>
      </c>
      <c r="C259" s="267" t="s">
        <v>42</v>
      </c>
      <c r="D259" s="59" t="s">
        <v>24</v>
      </c>
      <c r="E259" s="59">
        <v>0.1</v>
      </c>
      <c r="F259" s="59">
        <f>TRUNC(8.39,2)</f>
        <v>8.39</v>
      </c>
      <c r="G259" s="299">
        <f t="shared" si="10"/>
        <v>0.83</v>
      </c>
    </row>
    <row r="260" spans="1:7" ht="18.75">
      <c r="A260" s="297"/>
      <c r="B260" s="252" t="s">
        <v>50</v>
      </c>
      <c r="C260" s="267" t="s">
        <v>51</v>
      </c>
      <c r="D260" s="59" t="s">
        <v>52</v>
      </c>
      <c r="E260" s="59">
        <v>0.309</v>
      </c>
      <c r="F260" s="59">
        <f>TRUNC(14.47,2)</f>
        <v>14.47</v>
      </c>
      <c r="G260" s="299">
        <f t="shared" si="10"/>
        <v>4.47</v>
      </c>
    </row>
    <row r="261" spans="1:7" ht="18.75">
      <c r="A261" s="297"/>
      <c r="B261" s="252" t="s">
        <v>815</v>
      </c>
      <c r="C261" s="267" t="s">
        <v>816</v>
      </c>
      <c r="D261" s="59" t="s">
        <v>52</v>
      </c>
      <c r="E261" s="59">
        <v>0.309</v>
      </c>
      <c r="F261" s="59">
        <f>TRUNC(19.97,2)</f>
        <v>19.97</v>
      </c>
      <c r="G261" s="299">
        <f t="shared" si="10"/>
        <v>6.17</v>
      </c>
    </row>
    <row r="262" spans="1:7" ht="18.75">
      <c r="A262" s="297"/>
      <c r="B262" s="252" t="s">
        <v>881</v>
      </c>
      <c r="C262" s="267" t="s">
        <v>882</v>
      </c>
      <c r="D262" s="59" t="s">
        <v>18</v>
      </c>
      <c r="E262" s="59">
        <v>0.75</v>
      </c>
      <c r="F262" s="59">
        <f>TRUNC(23.28,2)</f>
        <v>23.28</v>
      </c>
      <c r="G262" s="299">
        <f t="shared" si="10"/>
        <v>17.46</v>
      </c>
    </row>
    <row r="263" spans="1:7" ht="18.75">
      <c r="A263" s="297"/>
      <c r="B263" s="252" t="s">
        <v>883</v>
      </c>
      <c r="C263" s="267" t="s">
        <v>884</v>
      </c>
      <c r="D263" s="59" t="s">
        <v>18</v>
      </c>
      <c r="E263" s="59">
        <v>0.175</v>
      </c>
      <c r="F263" s="59">
        <f>TRUNC(12.708,2)</f>
        <v>12.7</v>
      </c>
      <c r="G263" s="299">
        <f t="shared" si="10"/>
        <v>2.22</v>
      </c>
    </row>
    <row r="264" spans="1:7" ht="18.75">
      <c r="A264" s="361"/>
      <c r="B264" s="370"/>
      <c r="C264" s="362"/>
      <c r="D264" s="363"/>
      <c r="E264" s="363" t="s">
        <v>53</v>
      </c>
      <c r="F264" s="363"/>
      <c r="G264" s="364">
        <f>TRUNC(SUM(G259:G263),2)</f>
        <v>31.15</v>
      </c>
    </row>
    <row r="265" spans="1:7" ht="67.5" customHeight="1">
      <c r="A265" s="365" t="s">
        <v>653</v>
      </c>
      <c r="B265" s="366" t="s">
        <v>885</v>
      </c>
      <c r="C265" s="367" t="s">
        <v>575</v>
      </c>
      <c r="D265" s="368" t="s">
        <v>15</v>
      </c>
      <c r="E265" s="368">
        <v>1</v>
      </c>
      <c r="F265" s="368">
        <f>F266</f>
        <v>25.76</v>
      </c>
      <c r="G265" s="368">
        <f aca="true" t="shared" si="11" ref="G265:G271">TRUNC(E265*F265,2)</f>
        <v>25.76</v>
      </c>
    </row>
    <row r="266" spans="1:7" ht="60">
      <c r="A266" s="293"/>
      <c r="B266" s="440" t="s">
        <v>885</v>
      </c>
      <c r="C266" s="294" t="s">
        <v>886</v>
      </c>
      <c r="D266" s="295" t="s">
        <v>15</v>
      </c>
      <c r="E266" s="295">
        <v>1</v>
      </c>
      <c r="F266" s="295">
        <f>G272</f>
        <v>25.76</v>
      </c>
      <c r="G266" s="296">
        <f t="shared" si="11"/>
        <v>25.76</v>
      </c>
    </row>
    <row r="267" spans="1:7" ht="18.75">
      <c r="A267" s="297"/>
      <c r="B267" s="399" t="s">
        <v>68</v>
      </c>
      <c r="C267" s="267" t="s">
        <v>69</v>
      </c>
      <c r="D267" s="59" t="s">
        <v>18</v>
      </c>
      <c r="E267" s="59">
        <v>1.4</v>
      </c>
      <c r="F267" s="59">
        <f>TRUNC(10.59,2)</f>
        <v>10.59</v>
      </c>
      <c r="G267" s="299">
        <f t="shared" si="11"/>
        <v>14.82</v>
      </c>
    </row>
    <row r="268" spans="1:7" ht="30">
      <c r="A268" s="297"/>
      <c r="B268" s="399" t="s">
        <v>41</v>
      </c>
      <c r="C268" s="267" t="s">
        <v>42</v>
      </c>
      <c r="D268" s="59" t="s">
        <v>24</v>
      </c>
      <c r="E268" s="59">
        <v>0.01</v>
      </c>
      <c r="F268" s="59">
        <f>TRUNC(8.39,2)</f>
        <v>8.39</v>
      </c>
      <c r="G268" s="299">
        <f t="shared" si="11"/>
        <v>0.08</v>
      </c>
    </row>
    <row r="269" spans="1:7" ht="18.75">
      <c r="A269" s="297"/>
      <c r="B269" s="399" t="s">
        <v>65</v>
      </c>
      <c r="C269" s="267" t="s">
        <v>66</v>
      </c>
      <c r="D269" s="59" t="s">
        <v>24</v>
      </c>
      <c r="E269" s="59">
        <v>0.055</v>
      </c>
      <c r="F269" s="59">
        <f>TRUNC(4.02,2)</f>
        <v>4.02</v>
      </c>
      <c r="G269" s="299">
        <f t="shared" si="11"/>
        <v>0.22</v>
      </c>
    </row>
    <row r="270" spans="1:7" ht="18.75">
      <c r="A270" s="297"/>
      <c r="B270" s="399" t="s">
        <v>50</v>
      </c>
      <c r="C270" s="267" t="s">
        <v>51</v>
      </c>
      <c r="D270" s="59" t="s">
        <v>52</v>
      </c>
      <c r="E270" s="59">
        <v>0.309</v>
      </c>
      <c r="F270" s="59">
        <f>TRUNC(14.47,2)</f>
        <v>14.47</v>
      </c>
      <c r="G270" s="299">
        <f t="shared" si="11"/>
        <v>4.47</v>
      </c>
    </row>
    <row r="271" spans="1:7" ht="18.75">
      <c r="A271" s="297"/>
      <c r="B271" s="399" t="s">
        <v>815</v>
      </c>
      <c r="C271" s="267" t="s">
        <v>816</v>
      </c>
      <c r="D271" s="59" t="s">
        <v>52</v>
      </c>
      <c r="E271" s="59">
        <v>0.309</v>
      </c>
      <c r="F271" s="59">
        <f>TRUNC(19.97,2)</f>
        <v>19.97</v>
      </c>
      <c r="G271" s="299">
        <f t="shared" si="11"/>
        <v>6.17</v>
      </c>
    </row>
    <row r="272" spans="1:7" ht="18.75">
      <c r="A272" s="297"/>
      <c r="B272" s="399"/>
      <c r="C272" s="267"/>
      <c r="D272" s="59"/>
      <c r="E272" s="59" t="s">
        <v>53</v>
      </c>
      <c r="F272" s="59"/>
      <c r="G272" s="299">
        <f>TRUNC(SUM(G267:G271),2)</f>
        <v>25.76</v>
      </c>
    </row>
    <row r="273" spans="1:7" ht="45">
      <c r="A273" s="254" t="s">
        <v>654</v>
      </c>
      <c r="B273" s="141" t="s">
        <v>887</v>
      </c>
      <c r="C273" s="269" t="s">
        <v>576</v>
      </c>
      <c r="D273" s="256" t="s">
        <v>15</v>
      </c>
      <c r="E273" s="256">
        <v>1</v>
      </c>
      <c r="F273" s="256">
        <f>F274</f>
        <v>80.55</v>
      </c>
      <c r="G273" s="256">
        <f aca="true" t="shared" si="12" ref="G273:G280">TRUNC(E273*F273,2)</f>
        <v>80.55</v>
      </c>
    </row>
    <row r="274" spans="1:7" ht="60">
      <c r="A274" s="61"/>
      <c r="B274" s="399" t="s">
        <v>887</v>
      </c>
      <c r="C274" s="267" t="s">
        <v>236</v>
      </c>
      <c r="D274" s="59" t="s">
        <v>15</v>
      </c>
      <c r="E274" s="59">
        <v>1</v>
      </c>
      <c r="F274" s="59">
        <f>G281</f>
        <v>80.55</v>
      </c>
      <c r="G274" s="59">
        <f t="shared" si="12"/>
        <v>80.55</v>
      </c>
    </row>
    <row r="275" spans="1:7" ht="30">
      <c r="A275" s="61"/>
      <c r="B275" s="399" t="s">
        <v>237</v>
      </c>
      <c r="C275" s="267" t="s">
        <v>238</v>
      </c>
      <c r="D275" s="59" t="s">
        <v>21</v>
      </c>
      <c r="E275" s="59">
        <v>0.87</v>
      </c>
      <c r="F275" s="59">
        <f>TRUNC(74.45,2)</f>
        <v>74.45</v>
      </c>
      <c r="G275" s="59">
        <f t="shared" si="12"/>
        <v>64.77</v>
      </c>
    </row>
    <row r="276" spans="1:7" ht="18.75">
      <c r="A276" s="61"/>
      <c r="B276" s="399" t="s">
        <v>195</v>
      </c>
      <c r="C276" s="267" t="s">
        <v>196</v>
      </c>
      <c r="D276" s="59" t="s">
        <v>21</v>
      </c>
      <c r="E276" s="59">
        <v>1.45</v>
      </c>
      <c r="F276" s="59">
        <f>TRUNC(2.5,2)</f>
        <v>2.5</v>
      </c>
      <c r="G276" s="59">
        <f t="shared" si="12"/>
        <v>3.62</v>
      </c>
    </row>
    <row r="277" spans="1:7" ht="30">
      <c r="A277" s="61"/>
      <c r="B277" s="399" t="s">
        <v>70</v>
      </c>
      <c r="C277" s="267" t="s">
        <v>71</v>
      </c>
      <c r="D277" s="59" t="s">
        <v>21</v>
      </c>
      <c r="E277" s="59">
        <v>1.45</v>
      </c>
      <c r="F277" s="59">
        <f>TRUNC(0.27,2)</f>
        <v>0.27</v>
      </c>
      <c r="G277" s="59">
        <f t="shared" si="12"/>
        <v>0.39</v>
      </c>
    </row>
    <row r="278" spans="1:7" ht="18.75">
      <c r="A278" s="61"/>
      <c r="B278" s="399" t="s">
        <v>72</v>
      </c>
      <c r="C278" s="267" t="s">
        <v>73</v>
      </c>
      <c r="D278" s="59" t="s">
        <v>24</v>
      </c>
      <c r="E278" s="59">
        <v>0.09</v>
      </c>
      <c r="F278" s="59">
        <f>TRUNC(12.61,2)</f>
        <v>12.61</v>
      </c>
      <c r="G278" s="59">
        <f t="shared" si="12"/>
        <v>1.13</v>
      </c>
    </row>
    <row r="279" spans="1:7" ht="18.75">
      <c r="A279" s="61"/>
      <c r="B279" s="399" t="s">
        <v>50</v>
      </c>
      <c r="C279" s="267" t="s">
        <v>51</v>
      </c>
      <c r="D279" s="59" t="s">
        <v>52</v>
      </c>
      <c r="E279" s="59">
        <v>0.309</v>
      </c>
      <c r="F279" s="59">
        <f>TRUNC(14.47,2)</f>
        <v>14.47</v>
      </c>
      <c r="G279" s="59">
        <f t="shared" si="12"/>
        <v>4.47</v>
      </c>
    </row>
    <row r="280" spans="1:7" ht="18.75">
      <c r="A280" s="61"/>
      <c r="B280" s="399" t="s">
        <v>815</v>
      </c>
      <c r="C280" s="267" t="s">
        <v>816</v>
      </c>
      <c r="D280" s="59" t="s">
        <v>52</v>
      </c>
      <c r="E280" s="59">
        <v>0.309</v>
      </c>
      <c r="F280" s="59">
        <f>TRUNC(19.97,2)</f>
        <v>19.97</v>
      </c>
      <c r="G280" s="59">
        <f t="shared" si="12"/>
        <v>6.17</v>
      </c>
    </row>
    <row r="281" spans="1:7" ht="18.75">
      <c r="A281" s="61"/>
      <c r="B281" s="399"/>
      <c r="C281" s="267"/>
      <c r="D281" s="59"/>
      <c r="E281" s="59" t="s">
        <v>53</v>
      </c>
      <c r="F281" s="59"/>
      <c r="G281" s="59">
        <f>TRUNC(SUM(G275:G280),2)</f>
        <v>80.55</v>
      </c>
    </row>
    <row r="282" spans="1:7" ht="45">
      <c r="A282" s="28" t="s">
        <v>655</v>
      </c>
      <c r="B282" s="109" t="s">
        <v>1088</v>
      </c>
      <c r="C282" s="260" t="s">
        <v>395</v>
      </c>
      <c r="D282" s="15" t="s">
        <v>18</v>
      </c>
      <c r="E282" s="15">
        <v>1</v>
      </c>
      <c r="F282" s="15">
        <f>G293</f>
        <v>72.67894000000001</v>
      </c>
      <c r="G282" s="15">
        <f>TRUNC(E282*F282,2)</f>
        <v>72.67</v>
      </c>
    </row>
    <row r="283" spans="1:7" ht="18.75">
      <c r="A283" s="25"/>
      <c r="B283" s="560" t="s">
        <v>1089</v>
      </c>
      <c r="C283" s="222"/>
      <c r="D283" s="10"/>
      <c r="E283" s="10"/>
      <c r="F283" s="10"/>
      <c r="G283" s="10"/>
    </row>
    <row r="284" spans="1:7" ht="18.75">
      <c r="A284" s="53"/>
      <c r="B284" s="315" t="s">
        <v>253</v>
      </c>
      <c r="C284" s="270" t="s">
        <v>254</v>
      </c>
      <c r="D284" s="52" t="s">
        <v>24</v>
      </c>
      <c r="E284" s="52">
        <v>0.42</v>
      </c>
      <c r="F284" s="52">
        <v>60.36</v>
      </c>
      <c r="G284" s="52">
        <f>TRUNC(E284*F284,2)</f>
        <v>25.35</v>
      </c>
    </row>
    <row r="285" spans="1:7" ht="30">
      <c r="A285" s="53"/>
      <c r="B285" s="441" t="s">
        <v>255</v>
      </c>
      <c r="C285" s="285" t="s">
        <v>256</v>
      </c>
      <c r="D285" s="286" t="s">
        <v>21</v>
      </c>
      <c r="E285" s="286">
        <v>0.97</v>
      </c>
      <c r="F285" s="286">
        <v>20.02</v>
      </c>
      <c r="G285" s="286"/>
    </row>
    <row r="286" spans="1:7" ht="18.75">
      <c r="A286" s="53"/>
      <c r="B286" s="315" t="s">
        <v>121</v>
      </c>
      <c r="C286" s="270" t="s">
        <v>396</v>
      </c>
      <c r="D286" s="52" t="s">
        <v>21</v>
      </c>
      <c r="E286" s="52">
        <v>1.626</v>
      </c>
      <c r="F286" s="52">
        <v>25.19</v>
      </c>
      <c r="G286" s="52">
        <f>E286*F286</f>
        <v>40.95894</v>
      </c>
    </row>
    <row r="287" spans="1:7" ht="30">
      <c r="A287" s="53"/>
      <c r="B287" s="315" t="s">
        <v>257</v>
      </c>
      <c r="C287" s="270" t="s">
        <v>258</v>
      </c>
      <c r="D287" s="52" t="s">
        <v>21</v>
      </c>
      <c r="E287" s="52">
        <v>2.06</v>
      </c>
      <c r="F287" s="52">
        <v>1.13</v>
      </c>
      <c r="G287" s="52">
        <f>TRUNC(E287*F287,2)</f>
        <v>2.32</v>
      </c>
    </row>
    <row r="288" spans="1:7" ht="30">
      <c r="A288" s="53"/>
      <c r="B288" s="315" t="s">
        <v>259</v>
      </c>
      <c r="C288" s="270" t="s">
        <v>260</v>
      </c>
      <c r="D288" s="52" t="s">
        <v>261</v>
      </c>
      <c r="E288" s="52">
        <v>2.06</v>
      </c>
      <c r="F288" s="52">
        <v>0.21</v>
      </c>
      <c r="G288" s="52">
        <f>TRUNC(E288*F288,2)</f>
        <v>0.43</v>
      </c>
    </row>
    <row r="289" spans="1:7" ht="18.75">
      <c r="A289" s="53"/>
      <c r="B289" s="315" t="s">
        <v>80</v>
      </c>
      <c r="C289" s="270" t="s">
        <v>81</v>
      </c>
      <c r="D289" s="52" t="s">
        <v>52</v>
      </c>
      <c r="E289" s="52">
        <v>0.08</v>
      </c>
      <c r="F289" s="52">
        <f>TRUNC(24.23,2)</f>
        <v>24.23</v>
      </c>
      <c r="G289" s="52">
        <f>TRUNC(E289*F289,2)</f>
        <v>1.93</v>
      </c>
    </row>
    <row r="290" spans="1:7" ht="18.75">
      <c r="A290" s="53"/>
      <c r="B290" s="315" t="s">
        <v>54</v>
      </c>
      <c r="C290" s="270" t="s">
        <v>55</v>
      </c>
      <c r="D290" s="52" t="s">
        <v>52</v>
      </c>
      <c r="E290" s="52">
        <v>0.08</v>
      </c>
      <c r="F290" s="52">
        <f>TRUNC(21.24,2)</f>
        <v>21.24</v>
      </c>
      <c r="G290" s="52">
        <f>TRUNC(E290*F290,2)</f>
        <v>1.69</v>
      </c>
    </row>
    <row r="291" spans="1:7" ht="30">
      <c r="A291" s="53"/>
      <c r="B291" s="441" t="s">
        <v>82</v>
      </c>
      <c r="C291" s="285" t="s">
        <v>83</v>
      </c>
      <c r="D291" s="286" t="s">
        <v>56</v>
      </c>
      <c r="E291" s="286">
        <v>0.0183</v>
      </c>
      <c r="F291" s="286">
        <v>24.84</v>
      </c>
      <c r="G291" s="286"/>
    </row>
    <row r="292" spans="1:7" ht="30">
      <c r="A292" s="53"/>
      <c r="B292" s="441" t="s">
        <v>84</v>
      </c>
      <c r="C292" s="285" t="s">
        <v>85</v>
      </c>
      <c r="D292" s="286" t="s">
        <v>57</v>
      </c>
      <c r="E292" s="286">
        <v>0.0132</v>
      </c>
      <c r="F292" s="286">
        <v>25.48</v>
      </c>
      <c r="G292" s="286"/>
    </row>
    <row r="293" spans="1:7" ht="18.75">
      <c r="A293" s="53"/>
      <c r="B293" s="315"/>
      <c r="C293" s="270"/>
      <c r="D293" s="52"/>
      <c r="E293" s="52" t="s">
        <v>53</v>
      </c>
      <c r="F293" s="52"/>
      <c r="G293" s="52">
        <f>SUM(G284:G292)</f>
        <v>72.67894000000001</v>
      </c>
    </row>
    <row r="294" spans="1:3" ht="18.75">
      <c r="A294" s="17"/>
      <c r="C294" s="224"/>
    </row>
    <row r="295" spans="1:7" ht="45">
      <c r="A295" s="287" t="s">
        <v>656</v>
      </c>
      <c r="B295" s="288" t="s">
        <v>1090</v>
      </c>
      <c r="C295" s="289" t="s">
        <v>397</v>
      </c>
      <c r="D295" s="290" t="s">
        <v>18</v>
      </c>
      <c r="E295" s="290">
        <v>1</v>
      </c>
      <c r="F295" s="290">
        <f>G306</f>
        <v>39.994</v>
      </c>
      <c r="G295" s="290">
        <f>TRUNC(E295*F295,2)</f>
        <v>39.99</v>
      </c>
    </row>
    <row r="296" spans="1:7" ht="18.75">
      <c r="A296" s="543"/>
      <c r="B296" s="561" t="s">
        <v>1089</v>
      </c>
      <c r="C296" s="562"/>
      <c r="D296" s="563"/>
      <c r="E296" s="563"/>
      <c r="F296" s="563"/>
      <c r="G296" s="564"/>
    </row>
    <row r="297" spans="1:7" ht="18.75">
      <c r="A297" s="297"/>
      <c r="B297" s="399" t="s">
        <v>253</v>
      </c>
      <c r="C297" s="267" t="s">
        <v>254</v>
      </c>
      <c r="D297" s="59" t="s">
        <v>24</v>
      </c>
      <c r="E297" s="59">
        <v>0.42</v>
      </c>
      <c r="F297" s="59">
        <v>60.36</v>
      </c>
      <c r="G297" s="299">
        <f>TRUNC(E297*F297,2)</f>
        <v>25.35</v>
      </c>
    </row>
    <row r="298" spans="1:7" ht="30">
      <c r="A298" s="297"/>
      <c r="B298" s="442" t="s">
        <v>255</v>
      </c>
      <c r="C298" s="291" t="s">
        <v>256</v>
      </c>
      <c r="D298" s="292" t="s">
        <v>21</v>
      </c>
      <c r="E298" s="292">
        <v>0.97</v>
      </c>
      <c r="F298" s="292">
        <f>TRUNC(18.59,2)</f>
        <v>18.59</v>
      </c>
      <c r="G298" s="298"/>
    </row>
    <row r="299" spans="1:7" ht="30">
      <c r="A299" s="297"/>
      <c r="B299" s="399" t="s">
        <v>121</v>
      </c>
      <c r="C299" s="267" t="s">
        <v>398</v>
      </c>
      <c r="D299" s="59" t="s">
        <v>21</v>
      </c>
      <c r="E299" s="59">
        <v>2.364</v>
      </c>
      <c r="F299" s="59">
        <v>3.5</v>
      </c>
      <c r="G299" s="299">
        <f>E299*F299</f>
        <v>8.274</v>
      </c>
    </row>
    <row r="300" spans="1:7" ht="30">
      <c r="A300" s="297"/>
      <c r="B300" s="399" t="s">
        <v>257</v>
      </c>
      <c r="C300" s="267" t="s">
        <v>258</v>
      </c>
      <c r="D300" s="59" t="s">
        <v>21</v>
      </c>
      <c r="E300" s="59">
        <v>2.06</v>
      </c>
      <c r="F300" s="59">
        <v>1.13</v>
      </c>
      <c r="G300" s="299">
        <f>TRUNC(E300*F300,2)</f>
        <v>2.32</v>
      </c>
    </row>
    <row r="301" spans="1:7" ht="30">
      <c r="A301" s="297"/>
      <c r="B301" s="399" t="s">
        <v>259</v>
      </c>
      <c r="C301" s="267" t="s">
        <v>260</v>
      </c>
      <c r="D301" s="59" t="s">
        <v>261</v>
      </c>
      <c r="E301" s="59">
        <v>2.06</v>
      </c>
      <c r="F301" s="59">
        <v>0.21</v>
      </c>
      <c r="G301" s="299">
        <f>TRUNC(E301*F301,2)</f>
        <v>0.43</v>
      </c>
    </row>
    <row r="302" spans="1:7" ht="18.75">
      <c r="A302" s="297"/>
      <c r="B302" s="399" t="s">
        <v>80</v>
      </c>
      <c r="C302" s="267" t="s">
        <v>81</v>
      </c>
      <c r="D302" s="59" t="s">
        <v>52</v>
      </c>
      <c r="E302" s="59">
        <v>0.08</v>
      </c>
      <c r="F302" s="59">
        <f>TRUNC(24.23,2)</f>
        <v>24.23</v>
      </c>
      <c r="G302" s="299">
        <f>TRUNC(E302*F302,2)</f>
        <v>1.93</v>
      </c>
    </row>
    <row r="303" spans="1:7" ht="18.75">
      <c r="A303" s="297"/>
      <c r="B303" s="399" t="s">
        <v>54</v>
      </c>
      <c r="C303" s="267" t="s">
        <v>55</v>
      </c>
      <c r="D303" s="59" t="s">
        <v>52</v>
      </c>
      <c r="E303" s="59">
        <v>0.08</v>
      </c>
      <c r="F303" s="59">
        <f>TRUNC(21.24,2)</f>
        <v>21.24</v>
      </c>
      <c r="G303" s="299">
        <f>TRUNC(E303*F303,2)</f>
        <v>1.69</v>
      </c>
    </row>
    <row r="304" spans="1:7" ht="30">
      <c r="A304" s="297"/>
      <c r="B304" s="442" t="s">
        <v>82</v>
      </c>
      <c r="C304" s="291" t="s">
        <v>83</v>
      </c>
      <c r="D304" s="292" t="s">
        <v>56</v>
      </c>
      <c r="E304" s="292">
        <v>0.0183</v>
      </c>
      <c r="F304" s="292">
        <f>TRUNC(27.74,2)</f>
        <v>27.74</v>
      </c>
      <c r="G304" s="298"/>
    </row>
    <row r="305" spans="1:7" ht="30">
      <c r="A305" s="297"/>
      <c r="B305" s="442" t="s">
        <v>84</v>
      </c>
      <c r="C305" s="291" t="s">
        <v>85</v>
      </c>
      <c r="D305" s="292" t="s">
        <v>57</v>
      </c>
      <c r="E305" s="292">
        <v>0.0132</v>
      </c>
      <c r="F305" s="292">
        <f>TRUNC(28.35,2)</f>
        <v>28.35</v>
      </c>
      <c r="G305" s="298"/>
    </row>
    <row r="306" spans="1:7" ht="18.75">
      <c r="A306" s="297"/>
      <c r="B306" s="399"/>
      <c r="C306" s="267"/>
      <c r="D306" s="59"/>
      <c r="E306" s="59" t="s">
        <v>53</v>
      </c>
      <c r="F306" s="59"/>
      <c r="G306" s="299">
        <f>SUM(G297:G305)</f>
        <v>39.994</v>
      </c>
    </row>
    <row r="307" spans="1:7" ht="18.75">
      <c r="A307" s="329"/>
      <c r="B307" s="443"/>
      <c r="C307" s="330"/>
      <c r="D307" s="331"/>
      <c r="E307" s="331"/>
      <c r="F307" s="331"/>
      <c r="G307" s="332"/>
    </row>
    <row r="308" spans="1:7" ht="30">
      <c r="A308" s="534" t="s">
        <v>657</v>
      </c>
      <c r="B308" s="513" t="s">
        <v>1091</v>
      </c>
      <c r="C308" s="568" t="s">
        <v>1092</v>
      </c>
      <c r="D308" s="515" t="s">
        <v>18</v>
      </c>
      <c r="E308" s="515">
        <v>1</v>
      </c>
      <c r="F308" s="498">
        <f>G321</f>
        <v>72.0376</v>
      </c>
      <c r="G308" s="515">
        <f aca="true" t="shared" si="13" ref="G308:G318">TRUNC(E308*F308,2)</f>
        <v>72.03</v>
      </c>
    </row>
    <row r="309" spans="1:7" ht="30">
      <c r="A309" s="17"/>
      <c r="B309" s="111" t="s">
        <v>1037</v>
      </c>
      <c r="C309" s="276" t="s">
        <v>1038</v>
      </c>
      <c r="D309" s="10" t="s">
        <v>18</v>
      </c>
      <c r="E309" s="10">
        <v>1</v>
      </c>
      <c r="F309" s="10">
        <f>G319</f>
        <v>33.98</v>
      </c>
      <c r="G309" s="10">
        <f t="shared" si="13"/>
        <v>33.98</v>
      </c>
    </row>
    <row r="310" spans="1:9" ht="30">
      <c r="A310" s="17"/>
      <c r="B310" s="111" t="s">
        <v>1039</v>
      </c>
      <c r="C310" s="276" t="s">
        <v>74</v>
      </c>
      <c r="D310" s="10" t="s">
        <v>18</v>
      </c>
      <c r="E310" s="10">
        <v>1.05</v>
      </c>
      <c r="F310" s="10">
        <f>TRUNC(18.02,2)</f>
        <v>18.02</v>
      </c>
      <c r="G310" s="10">
        <f t="shared" si="13"/>
        <v>18.92</v>
      </c>
      <c r="H310" s="2">
        <f>E310*0.53/0.25</f>
        <v>2.2260000000000004</v>
      </c>
      <c r="I310" s="2">
        <f>F310*H310</f>
        <v>40.11252</v>
      </c>
    </row>
    <row r="311" spans="1:9" ht="18.75">
      <c r="A311" s="17"/>
      <c r="B311" s="111" t="s">
        <v>1040</v>
      </c>
      <c r="C311" s="276" t="s">
        <v>75</v>
      </c>
      <c r="D311" s="10" t="s">
        <v>24</v>
      </c>
      <c r="E311" s="10">
        <v>0.045</v>
      </c>
      <c r="F311" s="10">
        <f>TRUNC(125.5,2)</f>
        <v>125.5</v>
      </c>
      <c r="G311" s="10">
        <f t="shared" si="13"/>
        <v>5.64</v>
      </c>
      <c r="H311" s="2">
        <f aca="true" t="shared" si="14" ref="H311:H318">E311*0.53/0.25</f>
        <v>0.0954</v>
      </c>
      <c r="I311" s="2">
        <f aca="true" t="shared" si="15" ref="I311:I318">F311*H311</f>
        <v>11.9727</v>
      </c>
    </row>
    <row r="312" spans="1:9" ht="18.75">
      <c r="A312" s="17"/>
      <c r="B312" s="111" t="s">
        <v>1041</v>
      </c>
      <c r="C312" s="276" t="s">
        <v>76</v>
      </c>
      <c r="D312" s="10" t="s">
        <v>24</v>
      </c>
      <c r="E312" s="10">
        <v>0.0012</v>
      </c>
      <c r="F312" s="10">
        <f>TRUNC(40.26,2)</f>
        <v>40.26</v>
      </c>
      <c r="G312" s="10">
        <f t="shared" si="13"/>
        <v>0.04</v>
      </c>
      <c r="H312" s="2">
        <f t="shared" si="14"/>
        <v>0.002544</v>
      </c>
      <c r="I312" s="2">
        <f t="shared" si="15"/>
        <v>0.10242143999999999</v>
      </c>
    </row>
    <row r="313" spans="1:9" ht="18.75">
      <c r="A313" s="17"/>
      <c r="B313" s="111" t="s">
        <v>828</v>
      </c>
      <c r="C313" s="276" t="s">
        <v>77</v>
      </c>
      <c r="D313" s="10" t="s">
        <v>24</v>
      </c>
      <c r="E313" s="10">
        <v>0.006</v>
      </c>
      <c r="F313" s="10">
        <f>TRUNC(9.99,2)</f>
        <v>9.99</v>
      </c>
      <c r="G313" s="10">
        <f t="shared" si="13"/>
        <v>0.05</v>
      </c>
      <c r="H313" s="2">
        <f t="shared" si="14"/>
        <v>0.01272</v>
      </c>
      <c r="I313" s="2">
        <f t="shared" si="15"/>
        <v>0.1270728</v>
      </c>
    </row>
    <row r="314" spans="1:9" ht="18.75">
      <c r="A314" s="17"/>
      <c r="B314" s="111" t="s">
        <v>865</v>
      </c>
      <c r="C314" s="276" t="s">
        <v>78</v>
      </c>
      <c r="D314" s="10" t="s">
        <v>79</v>
      </c>
      <c r="E314" s="10">
        <v>0.04</v>
      </c>
      <c r="F314" s="10">
        <f>TRUNC(33.55,2)</f>
        <v>33.55</v>
      </c>
      <c r="G314" s="10">
        <f t="shared" si="13"/>
        <v>1.34</v>
      </c>
      <c r="H314" s="2">
        <f t="shared" si="14"/>
        <v>0.0848</v>
      </c>
      <c r="I314" s="2">
        <f t="shared" si="15"/>
        <v>2.8450399999999996</v>
      </c>
    </row>
    <row r="315" spans="1:9" ht="18.75">
      <c r="A315" s="17"/>
      <c r="B315" s="111" t="s">
        <v>80</v>
      </c>
      <c r="C315" s="276" t="s">
        <v>81</v>
      </c>
      <c r="D315" s="10" t="s">
        <v>52</v>
      </c>
      <c r="E315" s="10">
        <v>0.112</v>
      </c>
      <c r="F315" s="10">
        <f>TRUNC(24.23,2)</f>
        <v>24.23</v>
      </c>
      <c r="G315" s="10">
        <f t="shared" si="13"/>
        <v>2.71</v>
      </c>
      <c r="H315" s="2">
        <f t="shared" si="14"/>
        <v>0.23744</v>
      </c>
      <c r="I315" s="2">
        <f t="shared" si="15"/>
        <v>5.753171200000001</v>
      </c>
    </row>
    <row r="316" spans="1:9" ht="18.75">
      <c r="A316" s="17"/>
      <c r="B316" s="111" t="s">
        <v>54</v>
      </c>
      <c r="C316" s="276" t="s">
        <v>55</v>
      </c>
      <c r="D316" s="10" t="s">
        <v>52</v>
      </c>
      <c r="E316" s="10">
        <v>0.207</v>
      </c>
      <c r="F316" s="10">
        <f>TRUNC(21.24,2)</f>
        <v>21.24</v>
      </c>
      <c r="G316" s="10">
        <f t="shared" si="13"/>
        <v>4.39</v>
      </c>
      <c r="H316" s="2">
        <f t="shared" si="14"/>
        <v>0.43884</v>
      </c>
      <c r="I316" s="2">
        <f t="shared" si="15"/>
        <v>9.320961599999999</v>
      </c>
    </row>
    <row r="317" spans="1:9" ht="30">
      <c r="A317" s="17"/>
      <c r="B317" s="111" t="s">
        <v>82</v>
      </c>
      <c r="C317" s="276" t="s">
        <v>83</v>
      </c>
      <c r="D317" s="10" t="s">
        <v>56</v>
      </c>
      <c r="E317" s="10">
        <v>0.0183</v>
      </c>
      <c r="F317" s="10">
        <f>TRUNC(28.06,2)</f>
        <v>28.06</v>
      </c>
      <c r="G317" s="10">
        <f t="shared" si="13"/>
        <v>0.51</v>
      </c>
      <c r="H317" s="2">
        <f t="shared" si="14"/>
        <v>0.038796000000000004</v>
      </c>
      <c r="I317" s="2">
        <f t="shared" si="15"/>
        <v>1.0886157600000002</v>
      </c>
    </row>
    <row r="318" spans="1:9" ht="30">
      <c r="A318" s="17"/>
      <c r="B318" s="111" t="s">
        <v>84</v>
      </c>
      <c r="C318" s="276" t="s">
        <v>85</v>
      </c>
      <c r="D318" s="10" t="s">
        <v>57</v>
      </c>
      <c r="E318" s="10">
        <v>0.0132</v>
      </c>
      <c r="F318" s="10">
        <f>TRUNC(28.87,2)</f>
        <v>28.87</v>
      </c>
      <c r="G318" s="10">
        <f t="shared" si="13"/>
        <v>0.38</v>
      </c>
      <c r="H318" s="2">
        <f t="shared" si="14"/>
        <v>0.027984000000000002</v>
      </c>
      <c r="I318" s="2">
        <f t="shared" si="15"/>
        <v>0.8078980800000001</v>
      </c>
    </row>
    <row r="319" spans="1:7" ht="18.75">
      <c r="A319" s="17"/>
      <c r="B319" s="111"/>
      <c r="C319" s="276"/>
      <c r="D319" s="10"/>
      <c r="E319" s="10" t="s">
        <v>53</v>
      </c>
      <c r="F319" s="10"/>
      <c r="G319" s="10">
        <f>TRUNC(SUM(G310:G318),2)</f>
        <v>33.98</v>
      </c>
    </row>
    <row r="320" spans="1:7" ht="18.75">
      <c r="A320" s="17"/>
      <c r="B320" s="569"/>
      <c r="C320" s="570" t="s">
        <v>1042</v>
      </c>
      <c r="D320" s="571"/>
      <c r="E320" s="571">
        <f>33.98/0.25</f>
        <v>135.92</v>
      </c>
      <c r="F320" s="571"/>
      <c r="G320" s="572"/>
    </row>
    <row r="321" spans="1:7" ht="18.75">
      <c r="A321" s="17"/>
      <c r="B321" s="569"/>
      <c r="C321" s="570" t="s">
        <v>1043</v>
      </c>
      <c r="D321" s="571"/>
      <c r="E321" s="669" t="s">
        <v>197</v>
      </c>
      <c r="F321" s="670"/>
      <c r="G321" s="573">
        <f>135.92*0.53</f>
        <v>72.0376</v>
      </c>
    </row>
    <row r="322" spans="1:7" ht="19.5" thickBot="1">
      <c r="A322" s="17"/>
      <c r="B322" s="574"/>
      <c r="C322" s="575"/>
      <c r="D322" s="576"/>
      <c r="E322" s="576"/>
      <c r="F322" s="576"/>
      <c r="G322" s="577"/>
    </row>
    <row r="323" spans="1:7" ht="18.75">
      <c r="A323" s="17"/>
      <c r="B323" s="111"/>
      <c r="C323" s="276"/>
      <c r="D323" s="10"/>
      <c r="E323" s="10"/>
      <c r="F323" s="10"/>
      <c r="G323" s="10"/>
    </row>
    <row r="324" spans="1:7" ht="30">
      <c r="A324" s="28" t="s">
        <v>658</v>
      </c>
      <c r="B324" s="139" t="s">
        <v>1093</v>
      </c>
      <c r="C324" s="268" t="s">
        <v>1094</v>
      </c>
      <c r="D324" s="256" t="s">
        <v>18</v>
      </c>
      <c r="E324" s="256">
        <v>1</v>
      </c>
      <c r="F324" s="63">
        <f>G337</f>
        <v>47.571999999999996</v>
      </c>
      <c r="G324" s="256">
        <f aca="true" t="shared" si="16" ref="G324:G333">TRUNC(E324*F324,2)</f>
        <v>47.57</v>
      </c>
    </row>
    <row r="325" spans="1:8" ht="30">
      <c r="A325" s="17"/>
      <c r="B325" s="320" t="s">
        <v>1039</v>
      </c>
      <c r="C325" s="372" t="s">
        <v>74</v>
      </c>
      <c r="D325" s="59" t="s">
        <v>18</v>
      </c>
      <c r="E325" s="59">
        <v>1.05</v>
      </c>
      <c r="F325" s="59">
        <v>18.02</v>
      </c>
      <c r="G325" s="284">
        <f t="shared" si="16"/>
        <v>18.92</v>
      </c>
      <c r="H325" s="2">
        <f>E325*0.35/0.25</f>
        <v>1.47</v>
      </c>
    </row>
    <row r="326" spans="1:8" ht="18.75">
      <c r="A326" s="17"/>
      <c r="B326" s="320" t="s">
        <v>1040</v>
      </c>
      <c r="C326" s="372" t="s">
        <v>75</v>
      </c>
      <c r="D326" s="59" t="s">
        <v>24</v>
      </c>
      <c r="E326" s="59">
        <v>0.045</v>
      </c>
      <c r="F326" s="59">
        <v>125.5</v>
      </c>
      <c r="G326" s="284">
        <f t="shared" si="16"/>
        <v>5.64</v>
      </c>
      <c r="H326" s="2">
        <f aca="true" t="shared" si="17" ref="H326:H333">E326*0.35/0.25</f>
        <v>0.063</v>
      </c>
    </row>
    <row r="327" spans="1:8" ht="18.75">
      <c r="A327" s="17"/>
      <c r="B327" s="320" t="s">
        <v>1041</v>
      </c>
      <c r="C327" s="372" t="s">
        <v>76</v>
      </c>
      <c r="D327" s="59" t="s">
        <v>24</v>
      </c>
      <c r="E327" s="59">
        <v>0.0012</v>
      </c>
      <c r="F327" s="59">
        <v>40.26</v>
      </c>
      <c r="G327" s="284">
        <f t="shared" si="16"/>
        <v>0.04</v>
      </c>
      <c r="H327" s="2">
        <f t="shared" si="17"/>
        <v>0.0016799999999999999</v>
      </c>
    </row>
    <row r="328" spans="1:8" ht="24" customHeight="1">
      <c r="A328" s="17"/>
      <c r="B328" s="320" t="s">
        <v>828</v>
      </c>
      <c r="C328" s="372" t="s">
        <v>77</v>
      </c>
      <c r="D328" s="59" t="s">
        <v>24</v>
      </c>
      <c r="E328" s="59">
        <v>0.006</v>
      </c>
      <c r="F328" s="59">
        <v>9.99</v>
      </c>
      <c r="G328" s="284">
        <f t="shared" si="16"/>
        <v>0.05</v>
      </c>
      <c r="H328" s="2">
        <f t="shared" si="17"/>
        <v>0.0084</v>
      </c>
    </row>
    <row r="329" spans="1:8" ht="18.75">
      <c r="A329" s="17"/>
      <c r="B329" s="320" t="s">
        <v>865</v>
      </c>
      <c r="C329" s="372" t="s">
        <v>78</v>
      </c>
      <c r="D329" s="59" t="s">
        <v>79</v>
      </c>
      <c r="E329" s="59">
        <v>0.04</v>
      </c>
      <c r="F329" s="59">
        <v>33.55</v>
      </c>
      <c r="G329" s="284">
        <f t="shared" si="16"/>
        <v>1.34</v>
      </c>
      <c r="H329" s="2">
        <f t="shared" si="17"/>
        <v>0.055999999999999994</v>
      </c>
    </row>
    <row r="330" spans="1:8" ht="18.75">
      <c r="A330" s="17"/>
      <c r="B330" s="320" t="s">
        <v>80</v>
      </c>
      <c r="C330" s="372" t="s">
        <v>81</v>
      </c>
      <c r="D330" s="59" t="s">
        <v>52</v>
      </c>
      <c r="E330" s="59">
        <v>0.112</v>
      </c>
      <c r="F330" s="59">
        <v>24.23</v>
      </c>
      <c r="G330" s="284">
        <f t="shared" si="16"/>
        <v>2.71</v>
      </c>
      <c r="H330" s="2">
        <f t="shared" si="17"/>
        <v>0.1568</v>
      </c>
    </row>
    <row r="331" spans="1:8" ht="18.75">
      <c r="A331" s="17"/>
      <c r="B331" s="320" t="s">
        <v>54</v>
      </c>
      <c r="C331" s="372" t="s">
        <v>55</v>
      </c>
      <c r="D331" s="59" t="s">
        <v>52</v>
      </c>
      <c r="E331" s="59">
        <v>0.207</v>
      </c>
      <c r="F331" s="59">
        <v>21.24</v>
      </c>
      <c r="G331" s="284">
        <f t="shared" si="16"/>
        <v>4.39</v>
      </c>
      <c r="H331" s="2">
        <f t="shared" si="17"/>
        <v>0.28979999999999995</v>
      </c>
    </row>
    <row r="332" spans="1:8" ht="30">
      <c r="A332" s="17"/>
      <c r="B332" s="320" t="s">
        <v>82</v>
      </c>
      <c r="C332" s="372" t="s">
        <v>83</v>
      </c>
      <c r="D332" s="59" t="s">
        <v>56</v>
      </c>
      <c r="E332" s="59">
        <v>0.0183</v>
      </c>
      <c r="F332" s="59">
        <v>28.06</v>
      </c>
      <c r="G332" s="284">
        <f t="shared" si="16"/>
        <v>0.51</v>
      </c>
      <c r="H332" s="2">
        <f t="shared" si="17"/>
        <v>0.02562</v>
      </c>
    </row>
    <row r="333" spans="1:8" ht="30">
      <c r="A333" s="17"/>
      <c r="B333" s="320" t="s">
        <v>84</v>
      </c>
      <c r="C333" s="372" t="s">
        <v>85</v>
      </c>
      <c r="D333" s="59" t="s">
        <v>57</v>
      </c>
      <c r="E333" s="59">
        <v>0.0132</v>
      </c>
      <c r="F333" s="59">
        <v>28.87</v>
      </c>
      <c r="G333" s="284">
        <f t="shared" si="16"/>
        <v>0.38</v>
      </c>
      <c r="H333" s="2">
        <f t="shared" si="17"/>
        <v>0.01848</v>
      </c>
    </row>
    <row r="334" spans="1:7" ht="18.75">
      <c r="A334" s="17"/>
      <c r="B334" s="320"/>
      <c r="C334" s="372"/>
      <c r="D334" s="59"/>
      <c r="E334" s="59" t="s">
        <v>53</v>
      </c>
      <c r="F334" s="59"/>
      <c r="G334" s="284">
        <f>TRUNC(SUM(G325:G333),2)</f>
        <v>33.98</v>
      </c>
    </row>
    <row r="335" spans="1:7" ht="18.75">
      <c r="A335" s="17"/>
      <c r="B335" s="320"/>
      <c r="C335" s="372"/>
      <c r="D335" s="59"/>
      <c r="E335" s="59"/>
      <c r="F335" s="59"/>
      <c r="G335" s="284"/>
    </row>
    <row r="336" spans="1:7" ht="18.75">
      <c r="A336" s="17"/>
      <c r="B336" s="569"/>
      <c r="C336" s="570" t="s">
        <v>1044</v>
      </c>
      <c r="D336" s="571"/>
      <c r="E336" s="571">
        <f>33.98/0.25</f>
        <v>135.92</v>
      </c>
      <c r="F336" s="571"/>
      <c r="G336" s="572"/>
    </row>
    <row r="337" spans="1:7" ht="18.75">
      <c r="A337" s="17"/>
      <c r="B337" s="569"/>
      <c r="C337" s="570" t="s">
        <v>1045</v>
      </c>
      <c r="D337" s="571"/>
      <c r="E337" s="669" t="s">
        <v>197</v>
      </c>
      <c r="F337" s="670"/>
      <c r="G337" s="573">
        <f>135.92*0.35</f>
        <v>47.571999999999996</v>
      </c>
    </row>
    <row r="338" spans="1:7" ht="19.5" thickBot="1">
      <c r="A338" s="17"/>
      <c r="B338" s="574"/>
      <c r="C338" s="575"/>
      <c r="D338" s="576"/>
      <c r="E338" s="576"/>
      <c r="F338" s="576"/>
      <c r="G338" s="577"/>
    </row>
    <row r="339" spans="1:3" ht="18.75">
      <c r="A339" s="17"/>
      <c r="C339" s="578"/>
    </row>
    <row r="340" spans="1:7" ht="30">
      <c r="A340" s="28" t="s">
        <v>659</v>
      </c>
      <c r="B340" s="141" t="s">
        <v>888</v>
      </c>
      <c r="C340" s="269" t="s">
        <v>577</v>
      </c>
      <c r="D340" s="256" t="s">
        <v>18</v>
      </c>
      <c r="E340" s="256">
        <v>1</v>
      </c>
      <c r="F340" s="256">
        <f>F341</f>
        <v>51.8</v>
      </c>
      <c r="G340" s="256">
        <f aca="true" t="shared" si="18" ref="G340:G351">TRUNC(E340*F340,2)</f>
        <v>51.8</v>
      </c>
    </row>
    <row r="341" spans="1:7" ht="30">
      <c r="A341" s="25"/>
      <c r="B341" s="399" t="s">
        <v>888</v>
      </c>
      <c r="C341" s="267" t="s">
        <v>90</v>
      </c>
      <c r="D341" s="59" t="s">
        <v>18</v>
      </c>
      <c r="E341" s="59">
        <v>1</v>
      </c>
      <c r="F341" s="59">
        <f>G352</f>
        <v>51.8</v>
      </c>
      <c r="G341" s="59">
        <f t="shared" si="18"/>
        <v>51.8</v>
      </c>
    </row>
    <row r="342" spans="1:7" ht="18.75">
      <c r="A342" s="25"/>
      <c r="B342" s="399" t="s">
        <v>86</v>
      </c>
      <c r="C342" s="267" t="s">
        <v>87</v>
      </c>
      <c r="D342" s="59" t="s">
        <v>21</v>
      </c>
      <c r="E342" s="59">
        <v>3</v>
      </c>
      <c r="F342" s="59">
        <f>TRUNC(0.034,2)</f>
        <v>0.03</v>
      </c>
      <c r="G342" s="59">
        <f t="shared" si="18"/>
        <v>0.09</v>
      </c>
    </row>
    <row r="343" spans="1:7" ht="18.75">
      <c r="A343" s="25"/>
      <c r="B343" s="399" t="s">
        <v>91</v>
      </c>
      <c r="C343" s="267" t="s">
        <v>92</v>
      </c>
      <c r="D343" s="59" t="s">
        <v>21</v>
      </c>
      <c r="E343" s="59">
        <v>0.44</v>
      </c>
      <c r="F343" s="59">
        <f>TRUNC(0.77,2)</f>
        <v>0.77</v>
      </c>
      <c r="G343" s="59">
        <f t="shared" si="18"/>
        <v>0.33</v>
      </c>
    </row>
    <row r="344" spans="1:7" ht="18.75">
      <c r="A344" s="25"/>
      <c r="B344" s="399" t="s">
        <v>88</v>
      </c>
      <c r="C344" s="267" t="s">
        <v>89</v>
      </c>
      <c r="D344" s="59" t="s">
        <v>21</v>
      </c>
      <c r="E344" s="59">
        <v>1.55</v>
      </c>
      <c r="F344" s="59">
        <f>TRUNC(4.6,2)</f>
        <v>4.6</v>
      </c>
      <c r="G344" s="59">
        <f t="shared" si="18"/>
        <v>7.13</v>
      </c>
    </row>
    <row r="345" spans="1:7" ht="18.75">
      <c r="A345" s="25"/>
      <c r="B345" s="399" t="s">
        <v>93</v>
      </c>
      <c r="C345" s="267" t="s">
        <v>94</v>
      </c>
      <c r="D345" s="59" t="s">
        <v>21</v>
      </c>
      <c r="E345" s="59">
        <v>0.33</v>
      </c>
      <c r="F345" s="59">
        <f>TRUNC(21.27,2)</f>
        <v>21.27</v>
      </c>
      <c r="G345" s="59">
        <f t="shared" si="18"/>
        <v>7.01</v>
      </c>
    </row>
    <row r="346" spans="1:7" ht="18.75">
      <c r="A346" s="25"/>
      <c r="B346" s="399" t="s">
        <v>95</v>
      </c>
      <c r="C346" s="267" t="s">
        <v>96</v>
      </c>
      <c r="D346" s="59" t="s">
        <v>21</v>
      </c>
      <c r="E346" s="59">
        <v>0.22</v>
      </c>
      <c r="F346" s="59">
        <f>TRUNC(11.24,2)</f>
        <v>11.24</v>
      </c>
      <c r="G346" s="59">
        <f t="shared" si="18"/>
        <v>2.47</v>
      </c>
    </row>
    <row r="347" spans="1:7" ht="18.75">
      <c r="A347" s="25"/>
      <c r="B347" s="399" t="s">
        <v>97</v>
      </c>
      <c r="C347" s="267" t="s">
        <v>98</v>
      </c>
      <c r="D347" s="59" t="s">
        <v>21</v>
      </c>
      <c r="E347" s="59">
        <v>0.36</v>
      </c>
      <c r="F347" s="59">
        <f>TRUNC(48.79,2)</f>
        <v>48.79</v>
      </c>
      <c r="G347" s="59">
        <f t="shared" si="18"/>
        <v>17.56</v>
      </c>
    </row>
    <row r="348" spans="1:7" ht="18.75">
      <c r="A348" s="25"/>
      <c r="B348" s="399" t="s">
        <v>99</v>
      </c>
      <c r="C348" s="267" t="s">
        <v>100</v>
      </c>
      <c r="D348" s="59" t="s">
        <v>21</v>
      </c>
      <c r="E348" s="59">
        <v>0.11</v>
      </c>
      <c r="F348" s="59">
        <f>TRUNC(9.02,2)</f>
        <v>9.02</v>
      </c>
      <c r="G348" s="59">
        <f t="shared" si="18"/>
        <v>0.99</v>
      </c>
    </row>
    <row r="349" spans="1:7" ht="18.75">
      <c r="A349" s="25"/>
      <c r="B349" s="399" t="s">
        <v>101</v>
      </c>
      <c r="C349" s="267" t="s">
        <v>102</v>
      </c>
      <c r="D349" s="59" t="s">
        <v>21</v>
      </c>
      <c r="E349" s="59">
        <v>0.11</v>
      </c>
      <c r="F349" s="59">
        <f>TRUNC(5.67,2)</f>
        <v>5.67</v>
      </c>
      <c r="G349" s="59">
        <f t="shared" si="18"/>
        <v>0.62</v>
      </c>
    </row>
    <row r="350" spans="1:7" ht="18.75">
      <c r="A350" s="25"/>
      <c r="B350" s="399" t="s">
        <v>50</v>
      </c>
      <c r="C350" s="267" t="s">
        <v>51</v>
      </c>
      <c r="D350" s="59" t="s">
        <v>52</v>
      </c>
      <c r="E350" s="59">
        <v>0.4532</v>
      </c>
      <c r="F350" s="59">
        <f>TRUNC(14.47,2)</f>
        <v>14.47</v>
      </c>
      <c r="G350" s="59">
        <f t="shared" si="18"/>
        <v>6.55</v>
      </c>
    </row>
    <row r="351" spans="1:7" ht="18.75">
      <c r="A351" s="25"/>
      <c r="B351" s="399" t="s">
        <v>815</v>
      </c>
      <c r="C351" s="267" t="s">
        <v>816</v>
      </c>
      <c r="D351" s="59" t="s">
        <v>52</v>
      </c>
      <c r="E351" s="59">
        <v>0.4532</v>
      </c>
      <c r="F351" s="59">
        <f>TRUNC(19.97,2)</f>
        <v>19.97</v>
      </c>
      <c r="G351" s="59">
        <f t="shared" si="18"/>
        <v>9.05</v>
      </c>
    </row>
    <row r="352" spans="1:7" ht="18.75">
      <c r="A352" s="25"/>
      <c r="B352" s="399"/>
      <c r="C352" s="267"/>
      <c r="D352" s="59"/>
      <c r="E352" s="59" t="s">
        <v>53</v>
      </c>
      <c r="F352" s="59"/>
      <c r="G352" s="59">
        <f>TRUNC(SUM(G342:G351),2)</f>
        <v>51.8</v>
      </c>
    </row>
    <row r="353" spans="1:7" ht="30">
      <c r="A353" s="28" t="s">
        <v>1036</v>
      </c>
      <c r="B353" s="97" t="s">
        <v>889</v>
      </c>
      <c r="C353" s="260" t="s">
        <v>578</v>
      </c>
      <c r="D353" s="15" t="s">
        <v>18</v>
      </c>
      <c r="E353" s="15">
        <v>1</v>
      </c>
      <c r="F353" s="15">
        <f>TRUNC(29.043688,2)</f>
        <v>29.04</v>
      </c>
      <c r="G353" s="15">
        <f aca="true" t="shared" si="19" ref="G353:G363">TRUNC(E353*F353,2)</f>
        <v>29.04</v>
      </c>
    </row>
    <row r="354" spans="1:7" ht="30">
      <c r="A354" s="25"/>
      <c r="B354" s="111" t="s">
        <v>889</v>
      </c>
      <c r="C354" s="222" t="s">
        <v>103</v>
      </c>
      <c r="D354" s="10" t="s">
        <v>18</v>
      </c>
      <c r="E354" s="10">
        <v>1</v>
      </c>
      <c r="F354" s="10">
        <f>G364</f>
        <v>29.8</v>
      </c>
      <c r="G354" s="10">
        <f t="shared" si="19"/>
        <v>29.8</v>
      </c>
    </row>
    <row r="355" spans="1:7" ht="18.75">
      <c r="A355" s="25"/>
      <c r="B355" s="111" t="s">
        <v>104</v>
      </c>
      <c r="C355" s="222" t="s">
        <v>105</v>
      </c>
      <c r="D355" s="10" t="s">
        <v>21</v>
      </c>
      <c r="E355" s="10">
        <v>1.3</v>
      </c>
      <c r="F355" s="10">
        <f>TRUNC(0.064,2)</f>
        <v>0.06</v>
      </c>
      <c r="G355" s="10">
        <f t="shared" si="19"/>
        <v>0.07</v>
      </c>
    </row>
    <row r="356" spans="1:7" ht="18.75">
      <c r="A356" s="25"/>
      <c r="B356" s="111" t="s">
        <v>106</v>
      </c>
      <c r="C356" s="222" t="s">
        <v>107</v>
      </c>
      <c r="D356" s="10" t="s">
        <v>21</v>
      </c>
      <c r="E356" s="10">
        <v>1.3</v>
      </c>
      <c r="F356" s="10">
        <f>TRUNC(0.03,2)</f>
        <v>0.03</v>
      </c>
      <c r="G356" s="10">
        <f t="shared" si="19"/>
        <v>0.03</v>
      </c>
    </row>
    <row r="357" spans="1:7" ht="18.75">
      <c r="A357" s="25"/>
      <c r="B357" s="111" t="s">
        <v>108</v>
      </c>
      <c r="C357" s="222" t="s">
        <v>109</v>
      </c>
      <c r="D357" s="10" t="s">
        <v>21</v>
      </c>
      <c r="E357" s="10">
        <v>0.66</v>
      </c>
      <c r="F357" s="10">
        <f>TRUNC(9.04,2)</f>
        <v>9.04</v>
      </c>
      <c r="G357" s="10">
        <f t="shared" si="19"/>
        <v>5.96</v>
      </c>
    </row>
    <row r="358" spans="1:7" ht="18.75">
      <c r="A358" s="25"/>
      <c r="B358" s="111" t="s">
        <v>110</v>
      </c>
      <c r="C358" s="222" t="s">
        <v>111</v>
      </c>
      <c r="D358" s="10" t="s">
        <v>21</v>
      </c>
      <c r="E358" s="10">
        <v>0.36</v>
      </c>
      <c r="F358" s="10">
        <f>TRUNC(33.03,2)</f>
        <v>33.03</v>
      </c>
      <c r="G358" s="10">
        <f t="shared" si="19"/>
        <v>11.89</v>
      </c>
    </row>
    <row r="359" spans="1:7" ht="18.75">
      <c r="A359" s="25"/>
      <c r="B359" s="111" t="s">
        <v>112</v>
      </c>
      <c r="C359" s="222" t="s">
        <v>113</v>
      </c>
      <c r="D359" s="10" t="s">
        <v>21</v>
      </c>
      <c r="E359" s="10">
        <v>0.33</v>
      </c>
      <c r="F359" s="10">
        <f>TRUNC(9.04,2)</f>
        <v>9.04</v>
      </c>
      <c r="G359" s="10">
        <f t="shared" si="19"/>
        <v>2.98</v>
      </c>
    </row>
    <row r="360" spans="1:7" ht="18.75">
      <c r="A360" s="25"/>
      <c r="B360" s="111" t="s">
        <v>114</v>
      </c>
      <c r="C360" s="222" t="s">
        <v>115</v>
      </c>
      <c r="D360" s="10" t="s">
        <v>21</v>
      </c>
      <c r="E360" s="10">
        <v>0.66</v>
      </c>
      <c r="F360" s="10">
        <f>TRUNC(2.77,2)</f>
        <v>2.77</v>
      </c>
      <c r="G360" s="10">
        <f t="shared" si="19"/>
        <v>1.82</v>
      </c>
    </row>
    <row r="361" spans="1:7" ht="18.75">
      <c r="A361" s="25"/>
      <c r="B361" s="111" t="s">
        <v>116</v>
      </c>
      <c r="C361" s="222" t="s">
        <v>117</v>
      </c>
      <c r="D361" s="10" t="s">
        <v>21</v>
      </c>
      <c r="E361" s="10">
        <v>0.1</v>
      </c>
      <c r="F361" s="10">
        <f>TRUNC(3.27,2)</f>
        <v>3.27</v>
      </c>
      <c r="G361" s="10">
        <f t="shared" si="19"/>
        <v>0.32</v>
      </c>
    </row>
    <row r="362" spans="1:7" ht="18.75">
      <c r="A362" s="25"/>
      <c r="B362" s="111" t="s">
        <v>50</v>
      </c>
      <c r="C362" s="222" t="s">
        <v>51</v>
      </c>
      <c r="D362" s="10" t="s">
        <v>52</v>
      </c>
      <c r="E362" s="10">
        <v>0.1957</v>
      </c>
      <c r="F362" s="10">
        <f>TRUNC(14.47,2)</f>
        <v>14.47</v>
      </c>
      <c r="G362" s="10">
        <f t="shared" si="19"/>
        <v>2.83</v>
      </c>
    </row>
    <row r="363" spans="1:7" ht="18.75">
      <c r="A363" s="25"/>
      <c r="B363" s="111" t="s">
        <v>815</v>
      </c>
      <c r="C363" s="222" t="s">
        <v>816</v>
      </c>
      <c r="D363" s="10" t="s">
        <v>52</v>
      </c>
      <c r="E363" s="10">
        <v>0.1957</v>
      </c>
      <c r="F363" s="10">
        <f>TRUNC(19.97,2)</f>
        <v>19.97</v>
      </c>
      <c r="G363" s="10">
        <f t="shared" si="19"/>
        <v>3.9</v>
      </c>
    </row>
    <row r="364" spans="1:7" ht="18.75">
      <c r="A364" s="25"/>
      <c r="B364" s="111"/>
      <c r="C364" s="222"/>
      <c r="D364" s="10"/>
      <c r="E364" s="10" t="s">
        <v>53</v>
      </c>
      <c r="F364" s="10"/>
      <c r="G364" s="10">
        <f>TRUNC(SUM(G355:G363),2)</f>
        <v>29.8</v>
      </c>
    </row>
    <row r="365" spans="1:9" s="10" customFormat="1" ht="18.75">
      <c r="A365" s="238" t="s">
        <v>661</v>
      </c>
      <c r="B365" s="239"/>
      <c r="C365" s="240" t="s">
        <v>26</v>
      </c>
      <c r="D365" s="301"/>
      <c r="E365" s="301"/>
      <c r="F365" s="301"/>
      <c r="G365" s="241"/>
      <c r="I365" s="23"/>
    </row>
    <row r="366" spans="1:9" s="10" customFormat="1" ht="71.25">
      <c r="A366" s="238"/>
      <c r="B366" s="239"/>
      <c r="C366" s="240" t="s">
        <v>1118</v>
      </c>
      <c r="D366" s="301"/>
      <c r="E366" s="301"/>
      <c r="F366" s="301"/>
      <c r="G366" s="241"/>
      <c r="I366" s="23"/>
    </row>
    <row r="367" spans="1:9" s="59" customFormat="1" ht="63">
      <c r="A367" s="248" t="s">
        <v>660</v>
      </c>
      <c r="B367" s="460" t="s">
        <v>1046</v>
      </c>
      <c r="C367" s="461" t="s">
        <v>579</v>
      </c>
      <c r="D367" s="462" t="s">
        <v>21</v>
      </c>
      <c r="E367" s="462">
        <v>1</v>
      </c>
      <c r="F367" s="462">
        <f>F368</f>
        <v>95.05</v>
      </c>
      <c r="G367" s="256">
        <f>TRUNC(E367*F367,2)</f>
        <v>95.05</v>
      </c>
      <c r="I367" s="463"/>
    </row>
    <row r="368" spans="1:9" s="59" customFormat="1" ht="63">
      <c r="A368" s="375"/>
      <c r="B368" s="464" t="s">
        <v>890</v>
      </c>
      <c r="C368" s="465" t="s">
        <v>891</v>
      </c>
      <c r="D368" s="466" t="s">
        <v>21</v>
      </c>
      <c r="E368" s="466">
        <v>1</v>
      </c>
      <c r="F368" s="466">
        <f>G377</f>
        <v>95.05</v>
      </c>
      <c r="G368" s="59">
        <f>TRUNC(E368*F368,2)</f>
        <v>95.05</v>
      </c>
      <c r="I368" s="463"/>
    </row>
    <row r="369" spans="1:9" s="59" customFormat="1" ht="31.5">
      <c r="A369" s="375"/>
      <c r="B369" s="464" t="s">
        <v>892</v>
      </c>
      <c r="C369" s="465" t="s">
        <v>893</v>
      </c>
      <c r="D369" s="466" t="s">
        <v>21</v>
      </c>
      <c r="E369" s="466">
        <v>1</v>
      </c>
      <c r="F369" s="466">
        <f>TRUNC(9.91,2)</f>
        <v>9.91</v>
      </c>
      <c r="G369" s="59">
        <f>TRUNC(E369*F369,2)</f>
        <v>9.91</v>
      </c>
      <c r="I369" s="463"/>
    </row>
    <row r="370" spans="1:9" s="59" customFormat="1" ht="18.75">
      <c r="A370" s="375"/>
      <c r="B370" s="464" t="s">
        <v>301</v>
      </c>
      <c r="C370" s="465" t="s">
        <v>776</v>
      </c>
      <c r="D370" s="466" t="s">
        <v>21</v>
      </c>
      <c r="E370" s="466">
        <v>1</v>
      </c>
      <c r="F370" s="466">
        <f>TRUNC(2.95,2)</f>
        <v>2.95</v>
      </c>
      <c r="G370" s="59">
        <f>TRUNC(E370*F370,2)</f>
        <v>2.95</v>
      </c>
      <c r="I370" s="463"/>
    </row>
    <row r="371" spans="1:9" s="59" customFormat="1" ht="18.75">
      <c r="A371" s="375"/>
      <c r="B371" s="464" t="s">
        <v>302</v>
      </c>
      <c r="C371" s="465" t="s">
        <v>894</v>
      </c>
      <c r="D371" s="466" t="s">
        <v>21</v>
      </c>
      <c r="E371" s="466">
        <v>4</v>
      </c>
      <c r="F371" s="466">
        <f>TRUNC(1.7,2)</f>
        <v>1.7</v>
      </c>
      <c r="G371" s="59">
        <f>TRUNC(E371*F371,2)</f>
        <v>6.8</v>
      </c>
      <c r="I371" s="463"/>
    </row>
    <row r="372" spans="1:9" s="59" customFormat="1" ht="31.5">
      <c r="A372" s="375"/>
      <c r="B372" s="467" t="s">
        <v>303</v>
      </c>
      <c r="C372" s="468" t="s">
        <v>777</v>
      </c>
      <c r="D372" s="469" t="s">
        <v>21</v>
      </c>
      <c r="E372" s="469">
        <v>1</v>
      </c>
      <c r="F372" s="469">
        <f>TRUNC(21.29,2)</f>
        <v>21.29</v>
      </c>
      <c r="G372" s="292"/>
      <c r="I372" s="463"/>
    </row>
    <row r="373" spans="1:9" s="59" customFormat="1" ht="18.75">
      <c r="A373" s="375"/>
      <c r="B373" s="470" t="s">
        <v>304</v>
      </c>
      <c r="C373" s="471" t="s">
        <v>305</v>
      </c>
      <c r="D373" s="469" t="s">
        <v>21</v>
      </c>
      <c r="E373" s="469">
        <v>2</v>
      </c>
      <c r="F373" s="469">
        <f>TRUNC(5.1,2)</f>
        <v>5.1</v>
      </c>
      <c r="G373" s="292"/>
      <c r="I373" s="463"/>
    </row>
    <row r="374" spans="1:9" s="528" customFormat="1" ht="18.75">
      <c r="A374" s="503"/>
      <c r="B374" s="504" t="s">
        <v>1047</v>
      </c>
      <c r="C374" s="505" t="s">
        <v>1048</v>
      </c>
      <c r="D374" s="506" t="s">
        <v>21</v>
      </c>
      <c r="E374" s="506">
        <v>2</v>
      </c>
      <c r="F374" s="506">
        <v>16.24</v>
      </c>
      <c r="G374" s="528">
        <f>TRUNC(E374*F374,2)</f>
        <v>32.48</v>
      </c>
      <c r="I374" s="579"/>
    </row>
    <row r="375" spans="1:9" s="59" customFormat="1" ht="18.75">
      <c r="A375" s="375"/>
      <c r="B375" s="464" t="s">
        <v>50</v>
      </c>
      <c r="C375" s="465" t="s">
        <v>51</v>
      </c>
      <c r="D375" s="466" t="s">
        <v>52</v>
      </c>
      <c r="E375" s="466">
        <v>1.2463</v>
      </c>
      <c r="F375" s="466">
        <f>TRUNC(14.47,2)</f>
        <v>14.47</v>
      </c>
      <c r="G375" s="59">
        <f>TRUNC(E375*F375,2)</f>
        <v>18.03</v>
      </c>
      <c r="I375" s="463"/>
    </row>
    <row r="376" spans="1:9" s="59" customFormat="1" ht="18.75">
      <c r="A376" s="375"/>
      <c r="B376" s="464" t="s">
        <v>895</v>
      </c>
      <c r="C376" s="465" t="s">
        <v>896</v>
      </c>
      <c r="D376" s="466" t="s">
        <v>52</v>
      </c>
      <c r="E376" s="466">
        <v>1.2463</v>
      </c>
      <c r="F376" s="466">
        <f>TRUNC(19.97,2)</f>
        <v>19.97</v>
      </c>
      <c r="G376" s="59">
        <f>TRUNC(E376*F376,2)</f>
        <v>24.88</v>
      </c>
      <c r="I376" s="463"/>
    </row>
    <row r="377" spans="1:9" s="59" customFormat="1" ht="18.75">
      <c r="A377" s="375"/>
      <c r="B377" s="464"/>
      <c r="C377" s="465"/>
      <c r="D377" s="466"/>
      <c r="E377" s="466" t="s">
        <v>53</v>
      </c>
      <c r="F377" s="466"/>
      <c r="G377" s="59">
        <f>TRUNC(SUM(G369:G376),2)</f>
        <v>95.05</v>
      </c>
      <c r="I377" s="463"/>
    </row>
    <row r="378" spans="1:7" ht="30">
      <c r="A378" s="254" t="s">
        <v>1105</v>
      </c>
      <c r="B378" s="141" t="s">
        <v>1127</v>
      </c>
      <c r="C378" s="312" t="s">
        <v>1128</v>
      </c>
      <c r="D378" s="256" t="s">
        <v>18</v>
      </c>
      <c r="E378" s="256">
        <v>1</v>
      </c>
      <c r="F378" s="256">
        <f>F379</f>
        <v>11.37</v>
      </c>
      <c r="G378" s="256">
        <f>TRUNC(E378*F378,2)</f>
        <v>11.37</v>
      </c>
    </row>
    <row r="379" spans="1:7" ht="30">
      <c r="A379" s="17"/>
      <c r="B379" s="165" t="s">
        <v>1127</v>
      </c>
      <c r="C379" s="219" t="s">
        <v>1128</v>
      </c>
      <c r="D379" s="2" t="s">
        <v>18</v>
      </c>
      <c r="E379" s="2">
        <v>1</v>
      </c>
      <c r="F379" s="2">
        <f>TRUNC(11.3785606,2)</f>
        <v>11.37</v>
      </c>
      <c r="G379" s="2">
        <f>TRUNC(E379*F379,2)</f>
        <v>11.37</v>
      </c>
    </row>
    <row r="380" spans="1:7" ht="18.75">
      <c r="A380" s="17"/>
      <c r="B380" s="165" t="s">
        <v>50</v>
      </c>
      <c r="C380" s="219" t="s">
        <v>51</v>
      </c>
      <c r="D380" s="2" t="s">
        <v>52</v>
      </c>
      <c r="E380" s="2">
        <v>0.41200000000000003</v>
      </c>
      <c r="F380" s="2">
        <f>TRUNC(14.47,2)</f>
        <v>14.47</v>
      </c>
      <c r="G380" s="2">
        <f>TRUNC(E380*F380,2)</f>
        <v>5.96</v>
      </c>
    </row>
    <row r="381" spans="1:7" ht="18.75">
      <c r="A381" s="17"/>
      <c r="B381" s="165" t="s">
        <v>794</v>
      </c>
      <c r="C381" s="219" t="s">
        <v>795</v>
      </c>
      <c r="D381" s="2" t="s">
        <v>52</v>
      </c>
      <c r="E381" s="2">
        <v>0.2575</v>
      </c>
      <c r="F381" s="2">
        <f>TRUNC(19.97,2)</f>
        <v>19.97</v>
      </c>
      <c r="G381" s="2">
        <f>TRUNC(E381*F381,2)</f>
        <v>5.14</v>
      </c>
    </row>
    <row r="382" spans="1:7" ht="18.75">
      <c r="A382" s="17"/>
      <c r="B382" s="165" t="s">
        <v>1129</v>
      </c>
      <c r="C382" s="219" t="s">
        <v>1130</v>
      </c>
      <c r="D382" s="2" t="s">
        <v>19</v>
      </c>
      <c r="E382" s="2">
        <v>0.001</v>
      </c>
      <c r="F382" s="2">
        <f>TRUNC(274.6456,2)</f>
        <v>274.64</v>
      </c>
      <c r="G382" s="2">
        <f>TRUNC(E382*F382,2)</f>
        <v>0.27</v>
      </c>
    </row>
    <row r="383" spans="1:7" ht="18.75">
      <c r="A383" s="17"/>
      <c r="E383" s="2" t="s">
        <v>53</v>
      </c>
      <c r="G383" s="2">
        <f>TRUNC(SUM(G380:G382),2)</f>
        <v>11.37</v>
      </c>
    </row>
    <row r="384" spans="1:7" ht="30">
      <c r="A384" s="254" t="s">
        <v>1112</v>
      </c>
      <c r="B384" s="141" t="s">
        <v>1114</v>
      </c>
      <c r="C384" s="312" t="s">
        <v>1115</v>
      </c>
      <c r="D384" s="256" t="s">
        <v>18</v>
      </c>
      <c r="E384" s="256">
        <v>1</v>
      </c>
      <c r="F384" s="256">
        <f>F385</f>
        <v>8.58</v>
      </c>
      <c r="G384" s="256">
        <f>TRUNC(E384*F384,2)</f>
        <v>8.58</v>
      </c>
    </row>
    <row r="385" spans="1:7" ht="30">
      <c r="A385" s="17"/>
      <c r="B385" s="165" t="s">
        <v>1114</v>
      </c>
      <c r="C385" s="219" t="s">
        <v>1115</v>
      </c>
      <c r="D385" s="2" t="s">
        <v>18</v>
      </c>
      <c r="E385" s="2">
        <v>1</v>
      </c>
      <c r="F385" s="2">
        <f>TRUNC(8.58141,2)</f>
        <v>8.58</v>
      </c>
      <c r="G385" s="2">
        <f>TRUNC(E385*F385,2)</f>
        <v>8.58</v>
      </c>
    </row>
    <row r="386" spans="1:7" ht="18.75">
      <c r="A386" s="17"/>
      <c r="B386" s="165" t="s">
        <v>1116</v>
      </c>
      <c r="C386" s="219" t="s">
        <v>1117</v>
      </c>
      <c r="D386" s="2" t="s">
        <v>18</v>
      </c>
      <c r="E386" s="2">
        <v>1.017</v>
      </c>
      <c r="F386" s="2">
        <f>TRUNC(1.65,2)</f>
        <v>1.65</v>
      </c>
      <c r="G386" s="2">
        <f>TRUNC(E386*F386,2)</f>
        <v>1.67</v>
      </c>
    </row>
    <row r="387" spans="1:7" ht="18.75">
      <c r="A387" s="17"/>
      <c r="B387" s="165" t="s">
        <v>819</v>
      </c>
      <c r="C387" s="219" t="s">
        <v>120</v>
      </c>
      <c r="D387" s="2" t="s">
        <v>52</v>
      </c>
      <c r="E387" s="2">
        <v>0.144</v>
      </c>
      <c r="F387" s="2">
        <f>TRUNC(26.96,2)</f>
        <v>26.96</v>
      </c>
      <c r="G387" s="2">
        <f>TRUNC(E387*F387,2)</f>
        <v>3.88</v>
      </c>
    </row>
    <row r="388" spans="1:7" ht="18.75">
      <c r="A388" s="17"/>
      <c r="B388" s="165" t="s">
        <v>1103</v>
      </c>
      <c r="C388" s="219" t="s">
        <v>1104</v>
      </c>
      <c r="D388" s="2" t="s">
        <v>52</v>
      </c>
      <c r="E388" s="2">
        <v>0.144</v>
      </c>
      <c r="F388" s="2">
        <f>TRUNC(20.98,2)</f>
        <v>20.98</v>
      </c>
      <c r="G388" s="2">
        <f>TRUNC(E388*F388,2)</f>
        <v>3.02</v>
      </c>
    </row>
    <row r="389" spans="1:7" ht="18.75">
      <c r="A389" s="17"/>
      <c r="E389" s="2" t="s">
        <v>53</v>
      </c>
      <c r="G389" s="2">
        <f>TRUNC(SUM(G386:G388),2)</f>
        <v>8.57</v>
      </c>
    </row>
    <row r="390" spans="1:7" ht="30">
      <c r="A390" s="254" t="s">
        <v>1113</v>
      </c>
      <c r="B390" s="141" t="s">
        <v>1106</v>
      </c>
      <c r="C390" s="312" t="s">
        <v>1107</v>
      </c>
      <c r="D390" s="256" t="s">
        <v>18</v>
      </c>
      <c r="E390" s="256">
        <v>1</v>
      </c>
      <c r="F390" s="256">
        <f>F391</f>
        <v>3.16</v>
      </c>
      <c r="G390" s="256">
        <f aca="true" t="shared" si="20" ref="G390:G395">TRUNC(E390*F390,2)</f>
        <v>3.16</v>
      </c>
    </row>
    <row r="391" spans="1:7" ht="30">
      <c r="A391" s="17"/>
      <c r="B391" s="165" t="s">
        <v>1106</v>
      </c>
      <c r="C391" s="219" t="s">
        <v>1107</v>
      </c>
      <c r="D391" s="2" t="s">
        <v>18</v>
      </c>
      <c r="E391" s="2">
        <v>1</v>
      </c>
      <c r="F391" s="2">
        <f>G396</f>
        <v>3.16</v>
      </c>
      <c r="G391" s="2">
        <f t="shared" si="20"/>
        <v>3.16</v>
      </c>
    </row>
    <row r="392" spans="1:7" ht="18.75">
      <c r="A392" s="17"/>
      <c r="B392" s="165" t="s">
        <v>1108</v>
      </c>
      <c r="C392" s="219" t="s">
        <v>1109</v>
      </c>
      <c r="D392" s="2" t="s">
        <v>21</v>
      </c>
      <c r="E392" s="2">
        <v>0.009</v>
      </c>
      <c r="F392" s="2">
        <f>TRUNC(4.34,2)</f>
        <v>4.34</v>
      </c>
      <c r="G392" s="2">
        <f t="shared" si="20"/>
        <v>0.03</v>
      </c>
    </row>
    <row r="393" spans="1:7" ht="30">
      <c r="A393" s="17"/>
      <c r="B393" s="165" t="s">
        <v>1110</v>
      </c>
      <c r="C393" s="219" t="s">
        <v>1111</v>
      </c>
      <c r="D393" s="2" t="s">
        <v>18</v>
      </c>
      <c r="E393" s="2">
        <v>1.19</v>
      </c>
      <c r="F393" s="2">
        <f>TRUNC(1.44,2)</f>
        <v>1.44</v>
      </c>
      <c r="G393" s="2">
        <f t="shared" si="20"/>
        <v>1.71</v>
      </c>
    </row>
    <row r="394" spans="1:7" ht="18.75">
      <c r="A394" s="17"/>
      <c r="B394" s="165" t="s">
        <v>819</v>
      </c>
      <c r="C394" s="219" t="s">
        <v>120</v>
      </c>
      <c r="D394" s="2" t="s">
        <v>52</v>
      </c>
      <c r="E394" s="2">
        <v>0.03</v>
      </c>
      <c r="F394" s="2">
        <f>TRUNC(26.96,2)</f>
        <v>26.96</v>
      </c>
      <c r="G394" s="2">
        <f t="shared" si="20"/>
        <v>0.8</v>
      </c>
    </row>
    <row r="395" spans="1:7" ht="18.75">
      <c r="A395" s="17"/>
      <c r="B395" s="165" t="s">
        <v>1103</v>
      </c>
      <c r="C395" s="219" t="s">
        <v>1104</v>
      </c>
      <c r="D395" s="2" t="s">
        <v>52</v>
      </c>
      <c r="E395" s="2">
        <v>0.03</v>
      </c>
      <c r="F395" s="2">
        <f>TRUNC(20.98,2)</f>
        <v>20.98</v>
      </c>
      <c r="G395" s="2">
        <f t="shared" si="20"/>
        <v>0.62</v>
      </c>
    </row>
    <row r="396" spans="1:7" ht="18.75">
      <c r="A396" s="17"/>
      <c r="E396" s="2" t="s">
        <v>53</v>
      </c>
      <c r="G396" s="2">
        <f>TRUNC(SUM(G392:G395),2)</f>
        <v>3.16</v>
      </c>
    </row>
    <row r="397" spans="1:7" ht="30">
      <c r="A397" s="254" t="s">
        <v>1119</v>
      </c>
      <c r="B397" s="141" t="s">
        <v>1121</v>
      </c>
      <c r="C397" s="312" t="s">
        <v>1122</v>
      </c>
      <c r="D397" s="256" t="s">
        <v>21</v>
      </c>
      <c r="E397" s="256">
        <v>1</v>
      </c>
      <c r="F397" s="256">
        <f>F398</f>
        <v>36.83</v>
      </c>
      <c r="G397" s="256">
        <f>TRUNC(E397*F397,2)</f>
        <v>36.83</v>
      </c>
    </row>
    <row r="398" spans="1:7" ht="30">
      <c r="A398" s="17"/>
      <c r="B398" s="165" t="s">
        <v>1121</v>
      </c>
      <c r="C398" s="219" t="s">
        <v>1122</v>
      </c>
      <c r="D398" s="2" t="s">
        <v>21</v>
      </c>
      <c r="E398" s="2">
        <v>1</v>
      </c>
      <c r="F398" s="2">
        <f>TRUNC(36.83,2)</f>
        <v>36.83</v>
      </c>
      <c r="G398" s="2">
        <f>TRUNC(E398*F398,2)</f>
        <v>36.83</v>
      </c>
    </row>
    <row r="399" spans="1:7" ht="30">
      <c r="A399" s="17"/>
      <c r="B399" s="165" t="s">
        <v>1123</v>
      </c>
      <c r="C399" s="219" t="s">
        <v>1124</v>
      </c>
      <c r="D399" s="2" t="s">
        <v>21</v>
      </c>
      <c r="E399" s="2">
        <v>1</v>
      </c>
      <c r="F399" s="2">
        <f>TRUNC(29.98,2)</f>
        <v>29.98</v>
      </c>
      <c r="G399" s="2">
        <f>TRUNC(E399*F399,2)</f>
        <v>29.98</v>
      </c>
    </row>
    <row r="400" spans="1:7" ht="30">
      <c r="A400" s="17"/>
      <c r="B400" s="165" t="s">
        <v>1125</v>
      </c>
      <c r="C400" s="219" t="s">
        <v>1126</v>
      </c>
      <c r="D400" s="2" t="s">
        <v>21</v>
      </c>
      <c r="E400" s="2">
        <v>1</v>
      </c>
      <c r="F400" s="2">
        <f>TRUNC(6.85,2)</f>
        <v>6.85</v>
      </c>
      <c r="G400" s="2">
        <f>TRUNC(E400*F400,2)</f>
        <v>6.85</v>
      </c>
    </row>
    <row r="401" spans="1:7" ht="18.75">
      <c r="A401" s="17"/>
      <c r="E401" s="2" t="s">
        <v>53</v>
      </c>
      <c r="G401" s="2">
        <f>TRUNC(SUM(G399:G400),2)</f>
        <v>36.83</v>
      </c>
    </row>
    <row r="402" spans="1:7" ht="18.75">
      <c r="A402" s="254" t="s">
        <v>1120</v>
      </c>
      <c r="B402" s="141" t="s">
        <v>1099</v>
      </c>
      <c r="C402" s="312" t="s">
        <v>1100</v>
      </c>
      <c r="D402" s="256" t="s">
        <v>15</v>
      </c>
      <c r="E402" s="256">
        <v>1</v>
      </c>
      <c r="F402" s="256">
        <f>F403</f>
        <v>37.9</v>
      </c>
      <c r="G402" s="256">
        <f>TRUNC(E402*F402,2)</f>
        <v>37.9</v>
      </c>
    </row>
    <row r="403" spans="1:7" ht="18.75">
      <c r="A403" s="17"/>
      <c r="B403" s="165" t="s">
        <v>1099</v>
      </c>
      <c r="C403" s="219" t="s">
        <v>1100</v>
      </c>
      <c r="D403" s="2" t="s">
        <v>21</v>
      </c>
      <c r="E403" s="2">
        <v>1</v>
      </c>
      <c r="F403" s="2">
        <f>G407</f>
        <v>37.9</v>
      </c>
      <c r="G403" s="2">
        <f>TRUNC(E403*F403,2)</f>
        <v>37.9</v>
      </c>
    </row>
    <row r="404" spans="1:7" ht="30">
      <c r="A404" s="17"/>
      <c r="B404" s="165" t="s">
        <v>1101</v>
      </c>
      <c r="C404" s="219" t="s">
        <v>1102</v>
      </c>
      <c r="D404" s="2" t="s">
        <v>21</v>
      </c>
      <c r="E404" s="2">
        <v>1</v>
      </c>
      <c r="F404" s="2">
        <f>TRUNC(31.51,2)</f>
        <v>31.51</v>
      </c>
      <c r="G404" s="2">
        <f>TRUNC(E404*F404,2)</f>
        <v>31.51</v>
      </c>
    </row>
    <row r="405" spans="1:7" ht="18.75">
      <c r="A405" s="17"/>
      <c r="B405" s="165" t="s">
        <v>819</v>
      </c>
      <c r="C405" s="219" t="s">
        <v>120</v>
      </c>
      <c r="D405" s="2" t="s">
        <v>52</v>
      </c>
      <c r="E405" s="2">
        <v>0.1795</v>
      </c>
      <c r="F405" s="2">
        <f>TRUNC(26.96,2)</f>
        <v>26.96</v>
      </c>
      <c r="G405" s="2">
        <f>TRUNC(E405*F405,2)</f>
        <v>4.83</v>
      </c>
    </row>
    <row r="406" spans="1:7" ht="18.75">
      <c r="A406" s="17"/>
      <c r="B406" s="165" t="s">
        <v>1103</v>
      </c>
      <c r="C406" s="219" t="s">
        <v>1104</v>
      </c>
      <c r="D406" s="2" t="s">
        <v>52</v>
      </c>
      <c r="E406" s="2">
        <v>0.0748</v>
      </c>
      <c r="F406" s="2">
        <f>TRUNC(20.98,2)</f>
        <v>20.98</v>
      </c>
      <c r="G406" s="2">
        <f>TRUNC(E406*F406,2)</f>
        <v>1.56</v>
      </c>
    </row>
    <row r="407" spans="1:7" ht="18.75">
      <c r="A407" s="17"/>
      <c r="E407" s="2" t="s">
        <v>53</v>
      </c>
      <c r="G407" s="2">
        <f>TRUNC(SUM(G404:G406),2)</f>
        <v>37.9</v>
      </c>
    </row>
    <row r="408" spans="1:9" s="10" customFormat="1" ht="18.75">
      <c r="A408" s="238" t="s">
        <v>662</v>
      </c>
      <c r="B408" s="239"/>
      <c r="C408" s="342" t="s">
        <v>534</v>
      </c>
      <c r="D408" s="301"/>
      <c r="E408" s="301"/>
      <c r="F408" s="301"/>
      <c r="G408" s="241"/>
      <c r="I408" s="23"/>
    </row>
    <row r="409" spans="1:9" s="10" customFormat="1" ht="18.75">
      <c r="A409" s="245"/>
      <c r="B409" s="246"/>
      <c r="C409" s="338" t="s">
        <v>537</v>
      </c>
      <c r="D409" s="300"/>
      <c r="E409" s="300"/>
      <c r="F409" s="300"/>
      <c r="G409" s="242"/>
      <c r="I409" s="23"/>
    </row>
    <row r="410" spans="1:9" s="10" customFormat="1" ht="25.5">
      <c r="A410" s="236" t="s">
        <v>663</v>
      </c>
      <c r="B410" s="195" t="s">
        <v>897</v>
      </c>
      <c r="C410" s="302" t="s">
        <v>469</v>
      </c>
      <c r="D410" s="303" t="s">
        <v>18</v>
      </c>
      <c r="E410" s="303">
        <v>1</v>
      </c>
      <c r="F410" s="303">
        <f>F411</f>
        <v>16</v>
      </c>
      <c r="G410" s="303">
        <f aca="true" t="shared" si="21" ref="G410:G415">TRUNC(E410*F410,2)</f>
        <v>16</v>
      </c>
      <c r="I410" s="23"/>
    </row>
    <row r="411" spans="1:9" s="10" customFormat="1" ht="25.5">
      <c r="A411" s="16"/>
      <c r="B411" s="444" t="s">
        <v>897</v>
      </c>
      <c r="C411" s="226" t="s">
        <v>469</v>
      </c>
      <c r="D411" t="s">
        <v>18</v>
      </c>
      <c r="E411">
        <v>1</v>
      </c>
      <c r="F411">
        <f>G416</f>
        <v>16</v>
      </c>
      <c r="G411">
        <f t="shared" si="21"/>
        <v>16</v>
      </c>
      <c r="I411" s="23"/>
    </row>
    <row r="412" spans="1:9" s="10" customFormat="1" ht="18.75">
      <c r="A412" s="16"/>
      <c r="B412" s="444" t="s">
        <v>470</v>
      </c>
      <c r="C412" s="226" t="s">
        <v>471</v>
      </c>
      <c r="D412" t="s">
        <v>21</v>
      </c>
      <c r="E412">
        <v>0.175</v>
      </c>
      <c r="F412">
        <f>TRUNC(43.6493,2)</f>
        <v>43.64</v>
      </c>
      <c r="G412">
        <f t="shared" si="21"/>
        <v>7.63</v>
      </c>
      <c r="I412" s="23"/>
    </row>
    <row r="413" spans="1:9" s="10" customFormat="1" ht="18.75">
      <c r="A413" s="16"/>
      <c r="B413" s="444" t="s">
        <v>116</v>
      </c>
      <c r="C413" s="226" t="s">
        <v>117</v>
      </c>
      <c r="D413" t="s">
        <v>21</v>
      </c>
      <c r="E413">
        <v>0.18</v>
      </c>
      <c r="F413">
        <f>TRUNC(3.27,2)</f>
        <v>3.27</v>
      </c>
      <c r="G413">
        <f t="shared" si="21"/>
        <v>0.58</v>
      </c>
      <c r="I413" s="23"/>
    </row>
    <row r="414" spans="1:9" s="10" customFormat="1" ht="18.75">
      <c r="A414" s="16"/>
      <c r="B414" s="444" t="s">
        <v>50</v>
      </c>
      <c r="C414" s="226" t="s">
        <v>51</v>
      </c>
      <c r="D414" t="s">
        <v>52</v>
      </c>
      <c r="E414">
        <v>0.2266</v>
      </c>
      <c r="F414">
        <f>TRUNC(14.47,2)</f>
        <v>14.47</v>
      </c>
      <c r="G414">
        <f t="shared" si="21"/>
        <v>3.27</v>
      </c>
      <c r="I414" s="23"/>
    </row>
    <row r="415" spans="1:9" s="10" customFormat="1" ht="18.75">
      <c r="A415" s="16"/>
      <c r="B415" s="444" t="s">
        <v>472</v>
      </c>
      <c r="C415" s="226" t="s">
        <v>473</v>
      </c>
      <c r="D415" t="s">
        <v>52</v>
      </c>
      <c r="E415">
        <v>0.2266</v>
      </c>
      <c r="F415">
        <f>TRUNC(19.97,2)</f>
        <v>19.97</v>
      </c>
      <c r="G415">
        <f t="shared" si="21"/>
        <v>4.52</v>
      </c>
      <c r="I415" s="23"/>
    </row>
    <row r="416" spans="1:9" s="10" customFormat="1" ht="18.75">
      <c r="A416" s="16"/>
      <c r="B416" s="444"/>
      <c r="C416" s="226"/>
      <c r="D416"/>
      <c r="E416" t="s">
        <v>53</v>
      </c>
      <c r="F416"/>
      <c r="G416">
        <f>TRUNC(SUM(G412:G415),2)</f>
        <v>16</v>
      </c>
      <c r="I416" s="23"/>
    </row>
    <row r="417" spans="1:9" s="10" customFormat="1" ht="25.5">
      <c r="A417" s="236" t="s">
        <v>664</v>
      </c>
      <c r="B417" s="195" t="s">
        <v>474</v>
      </c>
      <c r="C417" s="302" t="s">
        <v>475</v>
      </c>
      <c r="D417" s="303" t="s">
        <v>18</v>
      </c>
      <c r="E417" s="303">
        <v>1</v>
      </c>
      <c r="F417" s="303">
        <f>G422</f>
        <v>6.88</v>
      </c>
      <c r="G417" s="303">
        <f>TRUNC(E417*F417,2)</f>
        <v>6.88</v>
      </c>
      <c r="I417" s="23"/>
    </row>
    <row r="418" spans="1:9" s="10" customFormat="1" ht="18.75">
      <c r="A418" s="16"/>
      <c r="B418" s="444" t="s">
        <v>476</v>
      </c>
      <c r="C418" s="226" t="s">
        <v>477</v>
      </c>
      <c r="D418" t="s">
        <v>21</v>
      </c>
      <c r="E418">
        <v>0.175</v>
      </c>
      <c r="F418">
        <v>10.76</v>
      </c>
      <c r="G418">
        <f>TRUNC(E418*F418,2)</f>
        <v>1.88</v>
      </c>
      <c r="I418" s="23"/>
    </row>
    <row r="419" spans="1:9" s="10" customFormat="1" ht="18.75">
      <c r="A419" s="16"/>
      <c r="B419" s="444" t="s">
        <v>116</v>
      </c>
      <c r="C419" s="226" t="s">
        <v>117</v>
      </c>
      <c r="D419" t="s">
        <v>21</v>
      </c>
      <c r="E419">
        <v>0.125</v>
      </c>
      <c r="F419">
        <v>3.27</v>
      </c>
      <c r="G419">
        <f>TRUNC(E419*F419,2)</f>
        <v>0.4</v>
      </c>
      <c r="I419" s="23"/>
    </row>
    <row r="420" spans="1:9" s="10" customFormat="1" ht="18.75">
      <c r="A420" s="16"/>
      <c r="B420" s="444" t="s">
        <v>50</v>
      </c>
      <c r="C420" s="226" t="s">
        <v>51</v>
      </c>
      <c r="D420" t="s">
        <v>52</v>
      </c>
      <c r="E420">
        <v>0.1545</v>
      </c>
      <c r="F420">
        <f>TRUNC(12.54,2)</f>
        <v>12.54</v>
      </c>
      <c r="G420">
        <f>TRUNC(E420*F420,2)</f>
        <v>1.93</v>
      </c>
      <c r="I420" s="23"/>
    </row>
    <row r="421" spans="1:9" s="10" customFormat="1" ht="18.75">
      <c r="A421" s="16"/>
      <c r="B421" s="444" t="s">
        <v>472</v>
      </c>
      <c r="C421" s="226" t="s">
        <v>473</v>
      </c>
      <c r="D421" t="s">
        <v>52</v>
      </c>
      <c r="E421">
        <v>0.1545</v>
      </c>
      <c r="F421">
        <f>TRUNC(17.3,2)</f>
        <v>17.3</v>
      </c>
      <c r="G421">
        <f>TRUNC(E421*F421,2)</f>
        <v>2.67</v>
      </c>
      <c r="I421" s="23"/>
    </row>
    <row r="422" spans="1:9" s="10" customFormat="1" ht="18.75">
      <c r="A422" s="16"/>
      <c r="B422" s="444"/>
      <c r="C422" s="226"/>
      <c r="D422"/>
      <c r="E422" t="s">
        <v>53</v>
      </c>
      <c r="F422"/>
      <c r="G422">
        <f>TRUNC(SUM(G418:G421),2)</f>
        <v>6.88</v>
      </c>
      <c r="I422" s="23"/>
    </row>
    <row r="423" spans="1:9" s="10" customFormat="1" ht="18.75">
      <c r="A423" s="16"/>
      <c r="B423" s="444"/>
      <c r="C423" s="226"/>
      <c r="D423"/>
      <c r="E423"/>
      <c r="F423"/>
      <c r="G423"/>
      <c r="I423" s="23"/>
    </row>
    <row r="424" spans="1:9" s="10" customFormat="1" ht="18.75">
      <c r="A424" s="236" t="s">
        <v>665</v>
      </c>
      <c r="B424" s="195" t="s">
        <v>478</v>
      </c>
      <c r="C424" s="302" t="s">
        <v>479</v>
      </c>
      <c r="D424" s="303" t="s">
        <v>21</v>
      </c>
      <c r="E424" s="303">
        <v>1</v>
      </c>
      <c r="F424" s="303">
        <f>G426</f>
        <v>3.48</v>
      </c>
      <c r="G424" s="303">
        <f>TRUNC(E424*F424,2)</f>
        <v>3.48</v>
      </c>
      <c r="I424" s="23"/>
    </row>
    <row r="425" spans="1:9" s="10" customFormat="1" ht="18.75">
      <c r="A425" s="16"/>
      <c r="B425" s="444" t="s">
        <v>480</v>
      </c>
      <c r="C425" s="226" t="s">
        <v>481</v>
      </c>
      <c r="D425" t="s">
        <v>21</v>
      </c>
      <c r="E425">
        <v>1</v>
      </c>
      <c r="F425">
        <v>3.48</v>
      </c>
      <c r="G425">
        <f>TRUNC(E425*F425,2)</f>
        <v>3.48</v>
      </c>
      <c r="I425" s="23"/>
    </row>
    <row r="426" spans="1:9" s="10" customFormat="1" ht="18.75">
      <c r="A426" s="16"/>
      <c r="B426" s="444"/>
      <c r="C426" s="226"/>
      <c r="D426"/>
      <c r="E426" t="s">
        <v>53</v>
      </c>
      <c r="F426"/>
      <c r="G426">
        <f>TRUNC(SUM(G425:G425),2)</f>
        <v>3.48</v>
      </c>
      <c r="I426" s="23"/>
    </row>
    <row r="427" spans="1:9" s="10" customFormat="1" ht="18.75">
      <c r="A427" s="16"/>
      <c r="B427" s="444"/>
      <c r="C427" s="226"/>
      <c r="D427"/>
      <c r="E427"/>
      <c r="F427"/>
      <c r="G427"/>
      <c r="I427" s="23"/>
    </row>
    <row r="428" spans="1:9" s="10" customFormat="1" ht="18.75">
      <c r="A428" s="236" t="s">
        <v>666</v>
      </c>
      <c r="B428" s="195" t="s">
        <v>482</v>
      </c>
      <c r="C428" s="302" t="s">
        <v>483</v>
      </c>
      <c r="D428" s="303" t="s">
        <v>21</v>
      </c>
      <c r="E428" s="303">
        <v>1</v>
      </c>
      <c r="F428" s="303">
        <f>G430</f>
        <v>3.16</v>
      </c>
      <c r="G428" s="303">
        <f>TRUNC(E428*F428,2)</f>
        <v>3.16</v>
      </c>
      <c r="I428" s="23"/>
    </row>
    <row r="429" spans="1:9" s="10" customFormat="1" ht="18.75">
      <c r="A429" s="16"/>
      <c r="B429" s="444" t="s">
        <v>484</v>
      </c>
      <c r="C429" s="226" t="s">
        <v>485</v>
      </c>
      <c r="D429" t="s">
        <v>21</v>
      </c>
      <c r="E429">
        <v>1</v>
      </c>
      <c r="F429">
        <v>3.16</v>
      </c>
      <c r="G429">
        <f>TRUNC(E429*F429,2)</f>
        <v>3.16</v>
      </c>
      <c r="I429" s="23"/>
    </row>
    <row r="430" spans="1:9" s="10" customFormat="1" ht="18.75">
      <c r="A430" s="16"/>
      <c r="B430" s="444"/>
      <c r="C430" s="226"/>
      <c r="D430"/>
      <c r="E430" t="s">
        <v>53</v>
      </c>
      <c r="F430"/>
      <c r="G430">
        <f>TRUNC(SUM(G429:G429),2)</f>
        <v>3.16</v>
      </c>
      <c r="I430" s="23"/>
    </row>
    <row r="431" spans="1:9" s="10" customFormat="1" ht="18.75">
      <c r="A431" s="16"/>
      <c r="B431" s="444"/>
      <c r="C431" s="226"/>
      <c r="D431"/>
      <c r="E431"/>
      <c r="F431"/>
      <c r="G431"/>
      <c r="I431" s="23"/>
    </row>
    <row r="432" spans="1:9" s="10" customFormat="1" ht="18.75">
      <c r="A432" s="236" t="s">
        <v>667</v>
      </c>
      <c r="B432" s="195" t="s">
        <v>486</v>
      </c>
      <c r="C432" s="302" t="s">
        <v>487</v>
      </c>
      <c r="D432" s="303" t="s">
        <v>21</v>
      </c>
      <c r="E432" s="303">
        <v>1</v>
      </c>
      <c r="F432" s="303">
        <f>G434</f>
        <v>0.46</v>
      </c>
      <c r="G432" s="303">
        <f>TRUNC(E432*F432,2)</f>
        <v>0.46</v>
      </c>
      <c r="I432" s="23"/>
    </row>
    <row r="433" spans="1:9" s="10" customFormat="1" ht="18.75">
      <c r="A433" s="16"/>
      <c r="B433" s="444" t="s">
        <v>488</v>
      </c>
      <c r="C433" s="226" t="s">
        <v>489</v>
      </c>
      <c r="D433" t="s">
        <v>21</v>
      </c>
      <c r="E433">
        <v>1</v>
      </c>
      <c r="F433">
        <v>0.46</v>
      </c>
      <c r="G433">
        <f>TRUNC(E433*F433,2)</f>
        <v>0.46</v>
      </c>
      <c r="I433" s="23"/>
    </row>
    <row r="434" spans="1:9" s="10" customFormat="1" ht="18.75">
      <c r="A434" s="16"/>
      <c r="B434" s="444"/>
      <c r="C434" s="226"/>
      <c r="D434"/>
      <c r="E434" t="s">
        <v>53</v>
      </c>
      <c r="F434"/>
      <c r="G434">
        <f>TRUNC(SUM(G433:G433),2)</f>
        <v>0.46</v>
      </c>
      <c r="I434" s="23"/>
    </row>
    <row r="435" spans="1:9" s="10" customFormat="1" ht="18.75">
      <c r="A435" s="16"/>
      <c r="B435" s="444"/>
      <c r="C435" s="226"/>
      <c r="D435"/>
      <c r="E435"/>
      <c r="F435"/>
      <c r="G435"/>
      <c r="I435" s="23"/>
    </row>
    <row r="436" spans="1:9" s="10" customFormat="1" ht="18.75">
      <c r="A436" s="236" t="s">
        <v>668</v>
      </c>
      <c r="B436" s="195" t="s">
        <v>490</v>
      </c>
      <c r="C436" s="302" t="s">
        <v>491</v>
      </c>
      <c r="D436" s="303" t="s">
        <v>21</v>
      </c>
      <c r="E436" s="303">
        <v>1</v>
      </c>
      <c r="F436" s="303">
        <f>G438</f>
        <v>5</v>
      </c>
      <c r="G436" s="303">
        <f>TRUNC(E436*F436,2)</f>
        <v>5</v>
      </c>
      <c r="I436" s="23"/>
    </row>
    <row r="437" spans="1:9" s="10" customFormat="1" ht="18.75">
      <c r="A437" s="16"/>
      <c r="B437" s="444" t="s">
        <v>492</v>
      </c>
      <c r="C437" s="226" t="s">
        <v>493</v>
      </c>
      <c r="D437" t="s">
        <v>21</v>
      </c>
      <c r="E437">
        <v>1</v>
      </c>
      <c r="F437">
        <v>5</v>
      </c>
      <c r="G437">
        <f>TRUNC(E437*F437,2)</f>
        <v>5</v>
      </c>
      <c r="I437" s="23"/>
    </row>
    <row r="438" spans="1:9" s="10" customFormat="1" ht="18.75">
      <c r="A438" s="16"/>
      <c r="B438" s="444"/>
      <c r="C438" s="226"/>
      <c r="D438"/>
      <c r="E438" t="s">
        <v>53</v>
      </c>
      <c r="F438"/>
      <c r="G438">
        <f>TRUNC(SUM(G437:G437),2)</f>
        <v>5</v>
      </c>
      <c r="I438" s="23"/>
    </row>
    <row r="439" spans="1:9" s="10" customFormat="1" ht="18.75">
      <c r="A439" s="16"/>
      <c r="B439" s="444"/>
      <c r="C439" s="226"/>
      <c r="D439"/>
      <c r="E439"/>
      <c r="F439"/>
      <c r="G439"/>
      <c r="I439" s="23"/>
    </row>
    <row r="440" spans="1:9" s="10" customFormat="1" ht="18.75">
      <c r="A440" s="236" t="s">
        <v>669</v>
      </c>
      <c r="B440" s="195" t="s">
        <v>543</v>
      </c>
      <c r="C440" s="302" t="s">
        <v>544</v>
      </c>
      <c r="D440" s="303" t="s">
        <v>21</v>
      </c>
      <c r="E440" s="303">
        <v>1</v>
      </c>
      <c r="F440" s="303">
        <f>G442</f>
        <v>5.96</v>
      </c>
      <c r="G440" s="303">
        <f>TRUNC(E440*F440,2)</f>
        <v>5.96</v>
      </c>
      <c r="I440" s="23"/>
    </row>
    <row r="441" spans="1:9" s="10" customFormat="1" ht="18.75">
      <c r="A441" s="16"/>
      <c r="B441" s="444" t="s">
        <v>545</v>
      </c>
      <c r="C441" s="226" t="s">
        <v>546</v>
      </c>
      <c r="D441" t="s">
        <v>21</v>
      </c>
      <c r="E441">
        <v>1</v>
      </c>
      <c r="F441">
        <v>5.96</v>
      </c>
      <c r="G441">
        <f>TRUNC(E441*F441,2)</f>
        <v>5.96</v>
      </c>
      <c r="I441" s="23"/>
    </row>
    <row r="442" spans="1:9" s="10" customFormat="1" ht="18.75">
      <c r="A442" s="16"/>
      <c r="B442" s="444"/>
      <c r="C442" s="226"/>
      <c r="D442"/>
      <c r="E442" t="s">
        <v>53</v>
      </c>
      <c r="F442"/>
      <c r="G442">
        <f>TRUNC(SUM(G441:G441),2)</f>
        <v>5.96</v>
      </c>
      <c r="I442" s="23"/>
    </row>
    <row r="443" spans="1:9" s="10" customFormat="1" ht="18.75">
      <c r="A443" s="16"/>
      <c r="B443" s="444"/>
      <c r="C443" s="226"/>
      <c r="D443"/>
      <c r="E443"/>
      <c r="F443"/>
      <c r="G443"/>
      <c r="I443" s="23"/>
    </row>
    <row r="444" spans="1:9" s="10" customFormat="1" ht="18.75">
      <c r="A444" s="236" t="s">
        <v>670</v>
      </c>
      <c r="B444" s="195" t="s">
        <v>547</v>
      </c>
      <c r="C444" s="302" t="s">
        <v>548</v>
      </c>
      <c r="D444" s="303" t="s">
        <v>21</v>
      </c>
      <c r="E444" s="303">
        <v>1</v>
      </c>
      <c r="F444" s="303">
        <f>G446</f>
        <v>0.73</v>
      </c>
      <c r="G444" s="303">
        <f>TRUNC(E444*F444,2)</f>
        <v>0.73</v>
      </c>
      <c r="I444" s="23"/>
    </row>
    <row r="445" spans="1:9" s="10" customFormat="1" ht="18.75">
      <c r="A445" s="16"/>
      <c r="B445" s="444" t="s">
        <v>549</v>
      </c>
      <c r="C445" s="226" t="s">
        <v>550</v>
      </c>
      <c r="D445" t="s">
        <v>21</v>
      </c>
      <c r="E445">
        <v>1</v>
      </c>
      <c r="F445">
        <v>0.73</v>
      </c>
      <c r="G445">
        <f>TRUNC(E445*F445,2)</f>
        <v>0.73</v>
      </c>
      <c r="I445" s="23"/>
    </row>
    <row r="446" spans="1:9" s="10" customFormat="1" ht="18.75">
      <c r="A446" s="16"/>
      <c r="B446" s="444"/>
      <c r="C446" s="226"/>
      <c r="D446"/>
      <c r="E446" t="s">
        <v>53</v>
      </c>
      <c r="F446"/>
      <c r="G446">
        <f>TRUNC(SUM(G445:G445),2)</f>
        <v>0.73</v>
      </c>
      <c r="I446" s="23"/>
    </row>
    <row r="447" spans="1:9" s="10" customFormat="1" ht="25.5">
      <c r="A447" s="236" t="s">
        <v>671</v>
      </c>
      <c r="B447" s="195" t="s">
        <v>494</v>
      </c>
      <c r="C447" s="302" t="s">
        <v>495</v>
      </c>
      <c r="D447" s="303" t="s">
        <v>21</v>
      </c>
      <c r="E447" s="303">
        <v>1</v>
      </c>
      <c r="F447" s="303">
        <f>G449</f>
        <v>2.56</v>
      </c>
      <c r="G447" s="303">
        <f>TRUNC(E447*F447,2)</f>
        <v>2.56</v>
      </c>
      <c r="I447" s="23"/>
    </row>
    <row r="448" spans="1:9" s="10" customFormat="1" ht="18.75">
      <c r="A448" s="16"/>
      <c r="B448" s="444" t="s">
        <v>496</v>
      </c>
      <c r="C448" s="226" t="s">
        <v>497</v>
      </c>
      <c r="D448" t="s">
        <v>21</v>
      </c>
      <c r="E448">
        <v>1</v>
      </c>
      <c r="F448">
        <v>2.56</v>
      </c>
      <c r="G448">
        <f>TRUNC(E448*F448,2)</f>
        <v>2.56</v>
      </c>
      <c r="I448" s="23"/>
    </row>
    <row r="449" spans="1:9" s="10" customFormat="1" ht="18.75">
      <c r="A449" s="16"/>
      <c r="B449" s="444"/>
      <c r="C449" s="226"/>
      <c r="D449"/>
      <c r="E449" t="s">
        <v>53</v>
      </c>
      <c r="F449"/>
      <c r="G449">
        <f>TRUNC(SUM(G448:G448),2)</f>
        <v>2.56</v>
      </c>
      <c r="I449" s="23"/>
    </row>
    <row r="450" spans="1:9" s="10" customFormat="1" ht="38.25">
      <c r="A450" s="236" t="s">
        <v>672</v>
      </c>
      <c r="B450" s="195" t="s">
        <v>898</v>
      </c>
      <c r="C450" s="302" t="s">
        <v>498</v>
      </c>
      <c r="D450" s="303" t="s">
        <v>21</v>
      </c>
      <c r="E450" s="303">
        <v>1</v>
      </c>
      <c r="F450" s="303">
        <f>F451</f>
        <v>141.83</v>
      </c>
      <c r="G450" s="303">
        <f aca="true" t="shared" si="22" ref="G450:G455">TRUNC(E450*F450,2)</f>
        <v>141.83</v>
      </c>
      <c r="I450" s="23"/>
    </row>
    <row r="451" spans="1:9" s="10" customFormat="1" ht="38.25">
      <c r="A451" s="16"/>
      <c r="B451" s="445" t="s">
        <v>898</v>
      </c>
      <c r="C451" s="228" t="s">
        <v>498</v>
      </c>
      <c r="D451" s="48" t="s">
        <v>21</v>
      </c>
      <c r="E451" s="48">
        <v>1</v>
      </c>
      <c r="F451" s="48">
        <f>G456</f>
        <v>141.83</v>
      </c>
      <c r="G451" s="48">
        <f t="shared" si="22"/>
        <v>141.83</v>
      </c>
      <c r="I451" s="23"/>
    </row>
    <row r="452" spans="1:9" s="10" customFormat="1" ht="18.75">
      <c r="A452" s="16"/>
      <c r="B452" s="445" t="s">
        <v>899</v>
      </c>
      <c r="C452" s="228" t="s">
        <v>499</v>
      </c>
      <c r="D452" s="48" t="s">
        <v>21</v>
      </c>
      <c r="E452" s="48">
        <v>1</v>
      </c>
      <c r="F452" s="48">
        <f>TRUNC(104.14,2)</f>
        <v>104.14</v>
      </c>
      <c r="G452" s="48">
        <f t="shared" si="22"/>
        <v>104.14</v>
      </c>
      <c r="I452" s="23"/>
    </row>
    <row r="453" spans="1:9" s="10" customFormat="1" ht="18.75">
      <c r="A453" s="16"/>
      <c r="B453" s="445" t="s">
        <v>900</v>
      </c>
      <c r="C453" s="228" t="s">
        <v>500</v>
      </c>
      <c r="D453" s="48" t="s">
        <v>21</v>
      </c>
      <c r="E453" s="48">
        <v>0.019</v>
      </c>
      <c r="F453" s="48">
        <f>TRUNC(10.69,2)</f>
        <v>10.69</v>
      </c>
      <c r="G453" s="48">
        <f t="shared" si="22"/>
        <v>0.2</v>
      </c>
      <c r="I453" s="23"/>
    </row>
    <row r="454" spans="1:9" s="10" customFormat="1" ht="18.75">
      <c r="A454" s="16"/>
      <c r="B454" s="445" t="s">
        <v>131</v>
      </c>
      <c r="C454" s="228" t="s">
        <v>59</v>
      </c>
      <c r="D454" s="48" t="s">
        <v>52</v>
      </c>
      <c r="E454" s="48">
        <v>0.789</v>
      </c>
      <c r="F454" s="48">
        <f>TRUNC(26.66,2)</f>
        <v>26.66</v>
      </c>
      <c r="G454" s="48">
        <f t="shared" si="22"/>
        <v>21.03</v>
      </c>
      <c r="I454" s="23"/>
    </row>
    <row r="455" spans="1:9" s="10" customFormat="1" ht="18.75">
      <c r="A455" s="16"/>
      <c r="B455" s="445" t="s">
        <v>271</v>
      </c>
      <c r="C455" s="228" t="s">
        <v>60</v>
      </c>
      <c r="D455" s="48" t="s">
        <v>52</v>
      </c>
      <c r="E455" s="48">
        <v>0.789</v>
      </c>
      <c r="F455" s="48">
        <f>TRUNC(20.87,2)</f>
        <v>20.87</v>
      </c>
      <c r="G455" s="48">
        <f t="shared" si="22"/>
        <v>16.46</v>
      </c>
      <c r="I455" s="23"/>
    </row>
    <row r="456" spans="1:9" s="10" customFormat="1" ht="18.75">
      <c r="A456" s="16"/>
      <c r="B456" s="445"/>
      <c r="C456" s="228"/>
      <c r="D456" s="48"/>
      <c r="E456" s="48" t="s">
        <v>53</v>
      </c>
      <c r="F456" s="48"/>
      <c r="G456" s="48">
        <f>TRUNC(SUM(G452:G455),2)</f>
        <v>141.83</v>
      </c>
      <c r="I456" s="23"/>
    </row>
    <row r="457" spans="1:9" s="10" customFormat="1" ht="18.75">
      <c r="A457" s="236" t="s">
        <v>673</v>
      </c>
      <c r="B457" s="195" t="s">
        <v>501</v>
      </c>
      <c r="C457" s="302" t="s">
        <v>502</v>
      </c>
      <c r="D457" s="303" t="s">
        <v>21</v>
      </c>
      <c r="E457" s="303">
        <v>1</v>
      </c>
      <c r="F457" s="303">
        <f>G459</f>
        <v>12.27</v>
      </c>
      <c r="G457" s="303">
        <f>TRUNC(E457*F457,2)</f>
        <v>12.27</v>
      </c>
      <c r="I457" s="23"/>
    </row>
    <row r="458" spans="1:9" s="10" customFormat="1" ht="18.75">
      <c r="A458" s="16"/>
      <c r="B458" s="444" t="s">
        <v>503</v>
      </c>
      <c r="C458" s="226" t="s">
        <v>504</v>
      </c>
      <c r="D458" t="s">
        <v>21</v>
      </c>
      <c r="E458">
        <v>1</v>
      </c>
      <c r="F458">
        <v>12.27</v>
      </c>
      <c r="G458">
        <f>TRUNC(E458*F458,2)</f>
        <v>12.27</v>
      </c>
      <c r="I458" s="23"/>
    </row>
    <row r="459" spans="1:9" s="10" customFormat="1" ht="18.75">
      <c r="A459" s="16"/>
      <c r="B459" s="444"/>
      <c r="C459" s="226"/>
      <c r="D459"/>
      <c r="E459" t="s">
        <v>53</v>
      </c>
      <c r="F459"/>
      <c r="G459">
        <f>TRUNC(SUM(G458:G458),2)</f>
        <v>12.27</v>
      </c>
      <c r="I459" s="23"/>
    </row>
    <row r="460" spans="1:9" s="10" customFormat="1" ht="18.75">
      <c r="A460" s="16"/>
      <c r="B460" s="444"/>
      <c r="C460" s="226"/>
      <c r="D460"/>
      <c r="E460"/>
      <c r="F460"/>
      <c r="G460"/>
      <c r="I460" s="23"/>
    </row>
    <row r="461" spans="1:9" s="10" customFormat="1" ht="18.75">
      <c r="A461" s="236" t="s">
        <v>674</v>
      </c>
      <c r="B461" s="195" t="s">
        <v>505</v>
      </c>
      <c r="C461" s="302" t="s">
        <v>506</v>
      </c>
      <c r="D461" s="303" t="s">
        <v>21</v>
      </c>
      <c r="E461" s="303">
        <v>1</v>
      </c>
      <c r="F461" s="303">
        <f>G463</f>
        <v>23.45</v>
      </c>
      <c r="G461" s="303">
        <f>TRUNC(E461*F461,2)</f>
        <v>23.45</v>
      </c>
      <c r="I461" s="23"/>
    </row>
    <row r="462" spans="1:9" s="10" customFormat="1" ht="18.75">
      <c r="A462" s="16"/>
      <c r="B462" s="444" t="s">
        <v>507</v>
      </c>
      <c r="C462" s="226" t="s">
        <v>508</v>
      </c>
      <c r="D462" t="s">
        <v>21</v>
      </c>
      <c r="E462">
        <v>1</v>
      </c>
      <c r="F462">
        <v>23.45</v>
      </c>
      <c r="G462">
        <f>TRUNC(E462*F462,2)</f>
        <v>23.45</v>
      </c>
      <c r="I462" s="23"/>
    </row>
    <row r="463" spans="1:9" s="10" customFormat="1" ht="18.75">
      <c r="A463" s="16"/>
      <c r="B463" s="444"/>
      <c r="C463" s="226"/>
      <c r="D463"/>
      <c r="E463" t="s">
        <v>53</v>
      </c>
      <c r="F463"/>
      <c r="G463">
        <f>TRUNC(SUM(G462:G462),2)</f>
        <v>23.45</v>
      </c>
      <c r="I463" s="23"/>
    </row>
    <row r="464" spans="1:9" s="10" customFormat="1" ht="18.75">
      <c r="A464" s="16"/>
      <c r="B464" s="444"/>
      <c r="C464" s="226"/>
      <c r="D464"/>
      <c r="E464"/>
      <c r="F464"/>
      <c r="G464"/>
      <c r="I464" s="23"/>
    </row>
    <row r="465" spans="1:9" s="10" customFormat="1" ht="38.25">
      <c r="A465" s="236" t="s">
        <v>675</v>
      </c>
      <c r="B465" s="195" t="s">
        <v>901</v>
      </c>
      <c r="C465" s="302" t="s">
        <v>551</v>
      </c>
      <c r="D465" s="303" t="s">
        <v>21</v>
      </c>
      <c r="E465" s="303">
        <v>1</v>
      </c>
      <c r="F465" s="303">
        <f>F466</f>
        <v>5.67</v>
      </c>
      <c r="G465" s="303">
        <f>TRUNC(E465*F465,2)</f>
        <v>5.67</v>
      </c>
      <c r="I465" s="23"/>
    </row>
    <row r="466" spans="1:9" s="10" customFormat="1" ht="38.25">
      <c r="A466" s="16"/>
      <c r="B466" s="444" t="s">
        <v>901</v>
      </c>
      <c r="C466" s="226" t="s">
        <v>551</v>
      </c>
      <c r="D466" t="s">
        <v>21</v>
      </c>
      <c r="E466">
        <v>1</v>
      </c>
      <c r="F466">
        <f>G469</f>
        <v>5.67</v>
      </c>
      <c r="G466">
        <f>TRUNC(E466*F466,2)</f>
        <v>5.67</v>
      </c>
      <c r="I466" s="23"/>
    </row>
    <row r="467" spans="1:9" s="10" customFormat="1" ht="18.75">
      <c r="A467" s="16"/>
      <c r="B467" s="444" t="s">
        <v>50</v>
      </c>
      <c r="C467" s="226" t="s">
        <v>51</v>
      </c>
      <c r="D467" t="s">
        <v>52</v>
      </c>
      <c r="E467">
        <v>0.1648</v>
      </c>
      <c r="F467">
        <v>14.47</v>
      </c>
      <c r="G467">
        <f>TRUNC(E467*F467,2)</f>
        <v>2.38</v>
      </c>
      <c r="I467" s="23"/>
    </row>
    <row r="468" spans="1:9" s="10" customFormat="1" ht="18.75">
      <c r="A468" s="16"/>
      <c r="B468" s="444" t="s">
        <v>472</v>
      </c>
      <c r="C468" s="226" t="s">
        <v>473</v>
      </c>
      <c r="D468" t="s">
        <v>52</v>
      </c>
      <c r="E468">
        <v>0.1648</v>
      </c>
      <c r="F468">
        <v>19.97</v>
      </c>
      <c r="G468">
        <f>TRUNC(E468*F468,2)</f>
        <v>3.29</v>
      </c>
      <c r="I468" s="23"/>
    </row>
    <row r="469" spans="1:9" s="10" customFormat="1" ht="18.75">
      <c r="A469" s="16"/>
      <c r="B469" s="444"/>
      <c r="C469" s="226"/>
      <c r="D469"/>
      <c r="E469" t="s">
        <v>53</v>
      </c>
      <c r="F469"/>
      <c r="G469">
        <f>TRUNC(SUM(G467:G468),2)</f>
        <v>5.67</v>
      </c>
      <c r="I469" s="23"/>
    </row>
    <row r="470" spans="1:9" s="10" customFormat="1" ht="25.5">
      <c r="A470" s="236" t="s">
        <v>676</v>
      </c>
      <c r="B470" s="195" t="s">
        <v>902</v>
      </c>
      <c r="C470" s="302" t="s">
        <v>552</v>
      </c>
      <c r="D470" s="303" t="s">
        <v>18</v>
      </c>
      <c r="E470" s="303">
        <v>1</v>
      </c>
      <c r="F470" s="303">
        <f>G474</f>
        <v>13.43</v>
      </c>
      <c r="G470" s="303">
        <f>TRUNC(E470*F470,2)</f>
        <v>13.43</v>
      </c>
      <c r="I470" s="23"/>
    </row>
    <row r="471" spans="1:9" s="10" customFormat="1" ht="25.5">
      <c r="A471" s="16"/>
      <c r="B471" s="445" t="s">
        <v>902</v>
      </c>
      <c r="C471" s="228" t="s">
        <v>552</v>
      </c>
      <c r="D471" s="48" t="s">
        <v>18</v>
      </c>
      <c r="E471" s="48">
        <v>1</v>
      </c>
      <c r="F471" s="48">
        <f>G474</f>
        <v>13.43</v>
      </c>
      <c r="G471" s="48">
        <f>TRUNC(E471*F471,2)</f>
        <v>13.43</v>
      </c>
      <c r="I471" s="23"/>
    </row>
    <row r="472" spans="1:9" s="10" customFormat="1" ht="18.75">
      <c r="A472" s="16"/>
      <c r="B472" s="445" t="s">
        <v>131</v>
      </c>
      <c r="C472" s="228" t="s">
        <v>59</v>
      </c>
      <c r="D472" s="48" t="s">
        <v>52</v>
      </c>
      <c r="E472" s="48">
        <v>0.449</v>
      </c>
      <c r="F472" s="48">
        <f>TRUNC(26.66,2)</f>
        <v>26.66</v>
      </c>
      <c r="G472" s="48">
        <f>TRUNC(E472*F472,2)</f>
        <v>11.97</v>
      </c>
      <c r="I472" s="23"/>
    </row>
    <row r="473" spans="1:9" s="10" customFormat="1" ht="18.75">
      <c r="A473" s="16"/>
      <c r="B473" s="445" t="s">
        <v>271</v>
      </c>
      <c r="C473" s="228" t="s">
        <v>60</v>
      </c>
      <c r="D473" s="48" t="s">
        <v>52</v>
      </c>
      <c r="E473" s="48">
        <v>0.07</v>
      </c>
      <c r="F473" s="48">
        <f>TRUNC(20.87,2)</f>
        <v>20.87</v>
      </c>
      <c r="G473" s="48">
        <f>TRUNC(E473*F473,2)</f>
        <v>1.46</v>
      </c>
      <c r="I473" s="23"/>
    </row>
    <row r="474" spans="1:9" s="10" customFormat="1" ht="18.75">
      <c r="A474" s="16"/>
      <c r="B474" s="445"/>
      <c r="C474" s="228"/>
      <c r="D474" s="48"/>
      <c r="E474" s="48" t="s">
        <v>53</v>
      </c>
      <c r="F474" s="48"/>
      <c r="G474" s="48">
        <f>TRUNC(SUM(G472:G473),2)</f>
        <v>13.43</v>
      </c>
      <c r="I474" s="23"/>
    </row>
    <row r="475" spans="1:9" s="10" customFormat="1" ht="18.75">
      <c r="A475" s="238"/>
      <c r="B475" s="239"/>
      <c r="C475" s="240" t="s">
        <v>538</v>
      </c>
      <c r="D475" s="301"/>
      <c r="E475" s="301"/>
      <c r="F475" s="301"/>
      <c r="G475" s="241"/>
      <c r="I475" s="23"/>
    </row>
    <row r="476" spans="1:9" s="10" customFormat="1" ht="27.75" customHeight="1">
      <c r="A476" s="236" t="s">
        <v>677</v>
      </c>
      <c r="B476" s="195" t="s">
        <v>903</v>
      </c>
      <c r="C476" s="305" t="s">
        <v>510</v>
      </c>
      <c r="D476" s="306" t="s">
        <v>18</v>
      </c>
      <c r="E476" s="306">
        <v>1</v>
      </c>
      <c r="F476" s="306">
        <f>F477</f>
        <v>21.24</v>
      </c>
      <c r="G476" s="306">
        <f aca="true" t="shared" si="23" ref="G476:G481">TRUNC(E476*F476,2)</f>
        <v>21.24</v>
      </c>
      <c r="I476" s="23"/>
    </row>
    <row r="477" spans="1:9" s="10" customFormat="1" ht="30">
      <c r="A477" s="377"/>
      <c r="B477" s="444" t="s">
        <v>903</v>
      </c>
      <c r="C477" s="304" t="s">
        <v>510</v>
      </c>
      <c r="D477" s="56" t="s">
        <v>18</v>
      </c>
      <c r="E477" s="56">
        <v>1</v>
      </c>
      <c r="F477" s="56">
        <f>G482</f>
        <v>21.24</v>
      </c>
      <c r="G477" s="56">
        <f t="shared" si="23"/>
        <v>21.24</v>
      </c>
      <c r="I477" s="23"/>
    </row>
    <row r="478" spans="1:9" s="10" customFormat="1" ht="18.75">
      <c r="A478" s="377"/>
      <c r="B478" s="444" t="s">
        <v>511</v>
      </c>
      <c r="C478" s="304" t="s">
        <v>512</v>
      </c>
      <c r="D478" s="56" t="s">
        <v>21</v>
      </c>
      <c r="E478" s="56">
        <v>0.175</v>
      </c>
      <c r="F478" s="56">
        <f>TRUNC(44.9518,2)</f>
        <v>44.95</v>
      </c>
      <c r="G478" s="56">
        <f t="shared" si="23"/>
        <v>7.86</v>
      </c>
      <c r="I478" s="23"/>
    </row>
    <row r="479" spans="1:9" s="10" customFormat="1" ht="18.75">
      <c r="A479" s="377"/>
      <c r="B479" s="444" t="s">
        <v>116</v>
      </c>
      <c r="C479" s="304" t="s">
        <v>117</v>
      </c>
      <c r="D479" s="56" t="s">
        <v>21</v>
      </c>
      <c r="E479" s="56">
        <v>0.3</v>
      </c>
      <c r="F479" s="56">
        <f>TRUNC(3.27,2)</f>
        <v>3.27</v>
      </c>
      <c r="G479" s="56">
        <f t="shared" si="23"/>
        <v>0.98</v>
      </c>
      <c r="I479" s="23"/>
    </row>
    <row r="480" spans="1:9" s="10" customFormat="1" ht="18.75">
      <c r="A480" s="377"/>
      <c r="B480" s="444" t="s">
        <v>50</v>
      </c>
      <c r="C480" s="304" t="s">
        <v>51</v>
      </c>
      <c r="D480" s="56" t="s">
        <v>52</v>
      </c>
      <c r="E480" s="56">
        <v>0.3605</v>
      </c>
      <c r="F480" s="56">
        <f>TRUNC(14.47,2)</f>
        <v>14.47</v>
      </c>
      <c r="G480" s="56">
        <f t="shared" si="23"/>
        <v>5.21</v>
      </c>
      <c r="I480" s="23"/>
    </row>
    <row r="481" spans="1:9" s="10" customFormat="1" ht="18.75">
      <c r="A481" s="377"/>
      <c r="B481" s="444" t="s">
        <v>472</v>
      </c>
      <c r="C481" s="304" t="s">
        <v>473</v>
      </c>
      <c r="D481" s="56" t="s">
        <v>52</v>
      </c>
      <c r="E481" s="56">
        <v>0.3605</v>
      </c>
      <c r="F481" s="56">
        <f>TRUNC(19.97,2)</f>
        <v>19.97</v>
      </c>
      <c r="G481" s="56">
        <f t="shared" si="23"/>
        <v>7.19</v>
      </c>
      <c r="I481" s="23"/>
    </row>
    <row r="482" spans="1:9" s="10" customFormat="1" ht="18.75">
      <c r="A482" s="16"/>
      <c r="B482" s="444"/>
      <c r="C482" s="227"/>
      <c r="D482"/>
      <c r="E482" t="s">
        <v>53</v>
      </c>
      <c r="F482"/>
      <c r="G482">
        <f>TRUNC(SUM(G478:G481),2)</f>
        <v>21.24</v>
      </c>
      <c r="I482" s="23"/>
    </row>
    <row r="483" spans="1:9" s="10" customFormat="1" ht="27.75" customHeight="1">
      <c r="A483" s="248" t="s">
        <v>678</v>
      </c>
      <c r="B483" s="446" t="s">
        <v>904</v>
      </c>
      <c r="C483" s="307" t="s">
        <v>513</v>
      </c>
      <c r="D483" s="309" t="s">
        <v>18</v>
      </c>
      <c r="E483" s="309">
        <v>1</v>
      </c>
      <c r="F483" s="309">
        <f>F484</f>
        <v>13.57</v>
      </c>
      <c r="G483" s="309">
        <f aca="true" t="shared" si="24" ref="G483:G488">TRUNC(E483*F483,2)</f>
        <v>13.57</v>
      </c>
      <c r="I483" s="23"/>
    </row>
    <row r="484" spans="1:9" s="10" customFormat="1" ht="27.75" customHeight="1">
      <c r="A484" s="375"/>
      <c r="B484" s="447" t="s">
        <v>904</v>
      </c>
      <c r="C484" s="378" t="s">
        <v>513</v>
      </c>
      <c r="D484" s="379" t="s">
        <v>18</v>
      </c>
      <c r="E484" s="379">
        <v>1</v>
      </c>
      <c r="F484" s="379">
        <f>G489</f>
        <v>13.57</v>
      </c>
      <c r="G484" s="379">
        <f t="shared" si="24"/>
        <v>13.57</v>
      </c>
      <c r="I484" s="23"/>
    </row>
    <row r="485" spans="1:9" s="10" customFormat="1" ht="27.75" customHeight="1">
      <c r="A485" s="375"/>
      <c r="B485" s="447" t="s">
        <v>514</v>
      </c>
      <c r="C485" s="378" t="s">
        <v>515</v>
      </c>
      <c r="D485" s="379" t="s">
        <v>21</v>
      </c>
      <c r="E485" s="379">
        <v>0.175</v>
      </c>
      <c r="F485" s="379">
        <f>TRUNC(29.7525,2)</f>
        <v>29.75</v>
      </c>
      <c r="G485" s="379">
        <f t="shared" si="24"/>
        <v>5.2</v>
      </c>
      <c r="I485" s="23"/>
    </row>
    <row r="486" spans="1:9" s="10" customFormat="1" ht="27.75" customHeight="1">
      <c r="A486" s="375"/>
      <c r="B486" s="447" t="s">
        <v>116</v>
      </c>
      <c r="C486" s="378" t="s">
        <v>117</v>
      </c>
      <c r="D486" s="379" t="s">
        <v>21</v>
      </c>
      <c r="E486" s="379">
        <v>0.18</v>
      </c>
      <c r="F486" s="379">
        <f>TRUNC(3.27,2)</f>
        <v>3.27</v>
      </c>
      <c r="G486" s="379">
        <f t="shared" si="24"/>
        <v>0.58</v>
      </c>
      <c r="I486" s="23"/>
    </row>
    <row r="487" spans="1:9" s="10" customFormat="1" ht="27.75" customHeight="1">
      <c r="A487" s="375"/>
      <c r="B487" s="447" t="s">
        <v>50</v>
      </c>
      <c r="C487" s="378" t="s">
        <v>51</v>
      </c>
      <c r="D487" s="379" t="s">
        <v>52</v>
      </c>
      <c r="E487" s="379">
        <v>0.2266</v>
      </c>
      <c r="F487" s="379">
        <f>TRUNC(14.47,2)</f>
        <v>14.47</v>
      </c>
      <c r="G487" s="379">
        <f t="shared" si="24"/>
        <v>3.27</v>
      </c>
      <c r="I487" s="23"/>
    </row>
    <row r="488" spans="1:9" s="10" customFormat="1" ht="27.75" customHeight="1">
      <c r="A488" s="375"/>
      <c r="B488" s="447" t="s">
        <v>472</v>
      </c>
      <c r="C488" s="378" t="s">
        <v>473</v>
      </c>
      <c r="D488" s="379" t="s">
        <v>52</v>
      </c>
      <c r="E488" s="379">
        <v>0.2266</v>
      </c>
      <c r="F488" s="379">
        <f>TRUNC(19.97,2)</f>
        <v>19.97</v>
      </c>
      <c r="G488" s="379">
        <f t="shared" si="24"/>
        <v>4.52</v>
      </c>
      <c r="I488" s="23"/>
    </row>
    <row r="489" spans="1:9" s="10" customFormat="1" ht="27.75" customHeight="1">
      <c r="A489" s="375"/>
      <c r="B489" s="447"/>
      <c r="C489" s="378"/>
      <c r="D489" s="379"/>
      <c r="E489" s="379" t="s">
        <v>53</v>
      </c>
      <c r="F489" s="379"/>
      <c r="G489" s="379">
        <f>TRUNC(SUM(G485:G488),2)</f>
        <v>13.57</v>
      </c>
      <c r="I489" s="23"/>
    </row>
    <row r="490" spans="1:9" s="10" customFormat="1" ht="26.25" customHeight="1">
      <c r="A490" s="248" t="s">
        <v>679</v>
      </c>
      <c r="B490" s="446" t="s">
        <v>905</v>
      </c>
      <c r="C490" s="307" t="s">
        <v>516</v>
      </c>
      <c r="D490" s="308" t="s">
        <v>18</v>
      </c>
      <c r="E490" s="308">
        <v>1</v>
      </c>
      <c r="F490" s="308">
        <f>F491</f>
        <v>9.82</v>
      </c>
      <c r="G490" s="308">
        <f aca="true" t="shared" si="25" ref="G490:G495">TRUNC(E490*F490,2)</f>
        <v>9.82</v>
      </c>
      <c r="I490" s="23"/>
    </row>
    <row r="491" spans="1:9" s="10" customFormat="1" ht="30">
      <c r="A491" s="16"/>
      <c r="B491" s="444" t="s">
        <v>905</v>
      </c>
      <c r="C491" s="304" t="s">
        <v>516</v>
      </c>
      <c r="D491" s="56" t="s">
        <v>18</v>
      </c>
      <c r="E491" s="56">
        <v>1</v>
      </c>
      <c r="F491" s="56">
        <f>G496</f>
        <v>9.82</v>
      </c>
      <c r="G491" s="56">
        <f t="shared" si="25"/>
        <v>9.82</v>
      </c>
      <c r="I491" s="23"/>
    </row>
    <row r="492" spans="1:9" s="10" customFormat="1" ht="18.75">
      <c r="A492" s="16"/>
      <c r="B492" s="444" t="s">
        <v>517</v>
      </c>
      <c r="C492" s="304" t="s">
        <v>518</v>
      </c>
      <c r="D492" s="56" t="s">
        <v>21</v>
      </c>
      <c r="E492" s="56">
        <v>0.175</v>
      </c>
      <c r="F492" s="56">
        <f>TRUNC(17.1172,2)</f>
        <v>17.11</v>
      </c>
      <c r="G492" s="56">
        <f t="shared" si="25"/>
        <v>2.99</v>
      </c>
      <c r="I492" s="23"/>
    </row>
    <row r="493" spans="1:9" s="10" customFormat="1" ht="18.75">
      <c r="A493" s="16"/>
      <c r="B493" s="444" t="s">
        <v>116</v>
      </c>
      <c r="C493" s="304" t="s">
        <v>117</v>
      </c>
      <c r="D493" s="56" t="s">
        <v>21</v>
      </c>
      <c r="E493" s="56">
        <v>0.14</v>
      </c>
      <c r="F493" s="56">
        <f>TRUNC(3.27,2)</f>
        <v>3.27</v>
      </c>
      <c r="G493" s="56">
        <f t="shared" si="25"/>
        <v>0.45</v>
      </c>
      <c r="I493" s="23"/>
    </row>
    <row r="494" spans="1:9" s="10" customFormat="1" ht="18.75">
      <c r="A494" s="16"/>
      <c r="B494" s="444" t="s">
        <v>50</v>
      </c>
      <c r="C494" s="304" t="s">
        <v>51</v>
      </c>
      <c r="D494" s="56" t="s">
        <v>52</v>
      </c>
      <c r="E494" s="56">
        <v>0.1854</v>
      </c>
      <c r="F494" s="56">
        <f>TRUNC(14.47,2)</f>
        <v>14.47</v>
      </c>
      <c r="G494" s="56">
        <f t="shared" si="25"/>
        <v>2.68</v>
      </c>
      <c r="I494" s="23"/>
    </row>
    <row r="495" spans="1:9" s="10" customFormat="1" ht="18.75">
      <c r="A495" s="16"/>
      <c r="B495" s="444" t="s">
        <v>472</v>
      </c>
      <c r="C495" s="304" t="s">
        <v>473</v>
      </c>
      <c r="D495" s="56" t="s">
        <v>52</v>
      </c>
      <c r="E495" s="56">
        <v>0.1854</v>
      </c>
      <c r="F495" s="56">
        <f>TRUNC(19.97,2)</f>
        <v>19.97</v>
      </c>
      <c r="G495" s="56">
        <f t="shared" si="25"/>
        <v>3.7</v>
      </c>
      <c r="I495" s="23"/>
    </row>
    <row r="496" spans="1:9" s="10" customFormat="1" ht="18.75">
      <c r="A496" s="16"/>
      <c r="B496" s="444"/>
      <c r="C496" s="304"/>
      <c r="D496" s="56"/>
      <c r="E496" s="56" t="s">
        <v>53</v>
      </c>
      <c r="F496" s="56"/>
      <c r="G496" s="56">
        <f>TRUNC(SUM(G492:G495),2)</f>
        <v>9.82</v>
      </c>
      <c r="I496" s="23"/>
    </row>
    <row r="497" spans="1:9" s="10" customFormat="1" ht="18.75">
      <c r="A497" s="236" t="s">
        <v>680</v>
      </c>
      <c r="B497" s="195" t="s">
        <v>906</v>
      </c>
      <c r="C497" s="305" t="s">
        <v>519</v>
      </c>
      <c r="D497" s="306" t="s">
        <v>21</v>
      </c>
      <c r="E497" s="306">
        <v>1</v>
      </c>
      <c r="F497" s="306">
        <f>F498</f>
        <v>4.36</v>
      </c>
      <c r="G497" s="306">
        <f>TRUNC(E497*F497,2)</f>
        <v>4.36</v>
      </c>
      <c r="I497" s="23"/>
    </row>
    <row r="498" spans="1:9" s="10" customFormat="1" ht="18.75">
      <c r="A498" s="16"/>
      <c r="B498" s="444" t="s">
        <v>906</v>
      </c>
      <c r="C498" s="227" t="s">
        <v>519</v>
      </c>
      <c r="D498" t="s">
        <v>21</v>
      </c>
      <c r="E498">
        <v>1</v>
      </c>
      <c r="F498">
        <f>G500</f>
        <v>4.36</v>
      </c>
      <c r="G498">
        <f>TRUNC(E498*F498,2)</f>
        <v>4.36</v>
      </c>
      <c r="I498" s="23"/>
    </row>
    <row r="499" spans="1:9" s="10" customFormat="1" ht="18.75">
      <c r="A499" s="16"/>
      <c r="B499" s="444" t="s">
        <v>520</v>
      </c>
      <c r="C499" s="304" t="s">
        <v>521</v>
      </c>
      <c r="D499" s="56" t="s">
        <v>21</v>
      </c>
      <c r="E499" s="56">
        <v>1</v>
      </c>
      <c r="F499">
        <f>TRUNC(4.369,2)</f>
        <v>4.36</v>
      </c>
      <c r="G499" s="56">
        <f>TRUNC(E499*F499,2)</f>
        <v>4.36</v>
      </c>
      <c r="I499" s="23"/>
    </row>
    <row r="500" spans="1:9" s="10" customFormat="1" ht="18.75">
      <c r="A500" s="16"/>
      <c r="B500" s="444"/>
      <c r="C500" s="304"/>
      <c r="D500" s="56"/>
      <c r="E500" s="56" t="s">
        <v>53</v>
      </c>
      <c r="F500" s="56"/>
      <c r="G500" s="56">
        <f>TRUNC(SUM(G499:G499),2)</f>
        <v>4.36</v>
      </c>
      <c r="I500" s="23"/>
    </row>
    <row r="501" spans="1:9" s="10" customFormat="1" ht="18.75">
      <c r="A501" s="415" t="s">
        <v>681</v>
      </c>
      <c r="B501" s="448" t="s">
        <v>1035</v>
      </c>
      <c r="C501" s="416" t="s">
        <v>522</v>
      </c>
      <c r="D501" s="417" t="s">
        <v>21</v>
      </c>
      <c r="E501" s="417">
        <v>1</v>
      </c>
      <c r="F501" s="417">
        <f>F502</f>
        <v>3.72</v>
      </c>
      <c r="G501" s="417">
        <f>TRUNC(E501*F501,2)</f>
        <v>3.72</v>
      </c>
      <c r="I501" s="23"/>
    </row>
    <row r="502" spans="1:9" s="10" customFormat="1" ht="18.75">
      <c r="A502" s="421"/>
      <c r="B502" s="449" t="s">
        <v>1035</v>
      </c>
      <c r="C502" s="422" t="s">
        <v>522</v>
      </c>
      <c r="D502" s="423" t="s">
        <v>21</v>
      </c>
      <c r="E502" s="423">
        <v>1</v>
      </c>
      <c r="F502" s="423">
        <f>G504</f>
        <v>3.72</v>
      </c>
      <c r="G502" s="424">
        <f>TRUNC(E502*F502,2)</f>
        <v>3.72</v>
      </c>
      <c r="I502" s="23"/>
    </row>
    <row r="503" spans="1:9" s="10" customFormat="1" ht="18.75">
      <c r="A503" s="425"/>
      <c r="B503" s="445" t="s">
        <v>523</v>
      </c>
      <c r="C503" s="380" t="s">
        <v>524</v>
      </c>
      <c r="D503" s="381" t="s">
        <v>21</v>
      </c>
      <c r="E503" s="381">
        <v>1</v>
      </c>
      <c r="F503" s="381">
        <f>TRUNC(3.7229,2)</f>
        <v>3.72</v>
      </c>
      <c r="G503" s="426">
        <f>TRUNC(E503*F503,2)</f>
        <v>3.72</v>
      </c>
      <c r="I503" s="23"/>
    </row>
    <row r="504" spans="1:9" s="10" customFormat="1" ht="18.75">
      <c r="A504" s="427"/>
      <c r="B504" s="450"/>
      <c r="C504" s="428"/>
      <c r="D504" s="429"/>
      <c r="E504" s="429" t="s">
        <v>53</v>
      </c>
      <c r="F504" s="429"/>
      <c r="G504" s="430">
        <f>TRUNC(SUM(G503:G503),2)</f>
        <v>3.72</v>
      </c>
      <c r="I504" s="23"/>
    </row>
    <row r="505" spans="1:9" s="10" customFormat="1" ht="60">
      <c r="A505" s="418" t="s">
        <v>682</v>
      </c>
      <c r="B505" s="451" t="s">
        <v>907</v>
      </c>
      <c r="C505" s="419" t="s">
        <v>525</v>
      </c>
      <c r="D505" s="420" t="s">
        <v>21</v>
      </c>
      <c r="E505" s="420">
        <v>1</v>
      </c>
      <c r="F505" s="420">
        <f>F506</f>
        <v>58.98</v>
      </c>
      <c r="G505" s="420">
        <f aca="true" t="shared" si="26" ref="G505:G513">TRUNC(E505*F505,2)</f>
        <v>58.98</v>
      </c>
      <c r="I505" s="23"/>
    </row>
    <row r="506" spans="1:9" s="10" customFormat="1" ht="60">
      <c r="A506" s="16"/>
      <c r="B506" s="445" t="s">
        <v>907</v>
      </c>
      <c r="C506" s="380" t="s">
        <v>525</v>
      </c>
      <c r="D506" s="48" t="s">
        <v>21</v>
      </c>
      <c r="E506" s="48">
        <v>1</v>
      </c>
      <c r="F506" s="48">
        <f>G514</f>
        <v>58.98</v>
      </c>
      <c r="G506" s="48">
        <f t="shared" si="26"/>
        <v>58.98</v>
      </c>
      <c r="I506" s="23"/>
    </row>
    <row r="507" spans="1:9" s="10" customFormat="1" ht="18.75">
      <c r="A507" s="16"/>
      <c r="B507" s="445" t="s">
        <v>526</v>
      </c>
      <c r="C507" s="380" t="s">
        <v>527</v>
      </c>
      <c r="D507" s="48" t="s">
        <v>21</v>
      </c>
      <c r="E507" s="48">
        <v>1</v>
      </c>
      <c r="F507" s="48">
        <f>TRUNC(7.42,2)</f>
        <v>7.42</v>
      </c>
      <c r="G507" s="48">
        <f t="shared" si="26"/>
        <v>7.42</v>
      </c>
      <c r="I507" s="23"/>
    </row>
    <row r="508" spans="1:9" s="10" customFormat="1" ht="18.75">
      <c r="A508" s="16"/>
      <c r="B508" s="445" t="s">
        <v>528</v>
      </c>
      <c r="C508" s="380" t="s">
        <v>529</v>
      </c>
      <c r="D508" s="48" t="s">
        <v>21</v>
      </c>
      <c r="E508" s="48">
        <v>1</v>
      </c>
      <c r="F508" s="48">
        <f>TRUNC(0.9846,2)</f>
        <v>0.98</v>
      </c>
      <c r="G508" s="48">
        <f t="shared" si="26"/>
        <v>0.98</v>
      </c>
      <c r="I508" s="23"/>
    </row>
    <row r="509" spans="1:9" s="10" customFormat="1" ht="18.75">
      <c r="A509" s="16"/>
      <c r="B509" s="445" t="s">
        <v>530</v>
      </c>
      <c r="C509" s="380" t="s">
        <v>531</v>
      </c>
      <c r="D509" s="48" t="s">
        <v>21</v>
      </c>
      <c r="E509" s="48">
        <v>2</v>
      </c>
      <c r="F509" s="48">
        <f>TRUNC(0.9025,2)</f>
        <v>0.9</v>
      </c>
      <c r="G509" s="48">
        <f t="shared" si="26"/>
        <v>1.8</v>
      </c>
      <c r="I509" s="23"/>
    </row>
    <row r="510" spans="1:9" s="10" customFormat="1" ht="18.75">
      <c r="A510" s="16"/>
      <c r="B510" s="445" t="s">
        <v>514</v>
      </c>
      <c r="C510" s="380" t="s">
        <v>515</v>
      </c>
      <c r="D510" s="48" t="s">
        <v>21</v>
      </c>
      <c r="E510" s="48">
        <v>0.333</v>
      </c>
      <c r="F510" s="48">
        <f>TRUNC(29.7525,2)</f>
        <v>29.75</v>
      </c>
      <c r="G510" s="48">
        <f t="shared" si="26"/>
        <v>9.9</v>
      </c>
      <c r="I510" s="23"/>
    </row>
    <row r="511" spans="1:9" s="10" customFormat="1" ht="18.75">
      <c r="A511" s="16"/>
      <c r="B511" s="445" t="s">
        <v>517</v>
      </c>
      <c r="C511" s="380" t="s">
        <v>518</v>
      </c>
      <c r="D511" s="48" t="s">
        <v>21</v>
      </c>
      <c r="E511" s="48">
        <v>0.2</v>
      </c>
      <c r="F511" s="48">
        <f>TRUNC(17.1172,2)</f>
        <v>17.11</v>
      </c>
      <c r="G511" s="48">
        <f t="shared" si="26"/>
        <v>3.42</v>
      </c>
      <c r="I511" s="23"/>
    </row>
    <row r="512" spans="1:9" s="10" customFormat="1" ht="18.75">
      <c r="A512" s="16"/>
      <c r="B512" s="445" t="s">
        <v>50</v>
      </c>
      <c r="C512" s="380" t="s">
        <v>51</v>
      </c>
      <c r="D512" s="48" t="s">
        <v>52</v>
      </c>
      <c r="E512" s="48">
        <v>1.03</v>
      </c>
      <c r="F512" s="48">
        <f>TRUNC(14.47,2)</f>
        <v>14.47</v>
      </c>
      <c r="G512" s="48">
        <f t="shared" si="26"/>
        <v>14.9</v>
      </c>
      <c r="I512" s="23"/>
    </row>
    <row r="513" spans="1:9" s="10" customFormat="1" ht="18.75">
      <c r="A513" s="16"/>
      <c r="B513" s="445" t="s">
        <v>472</v>
      </c>
      <c r="C513" s="380" t="s">
        <v>473</v>
      </c>
      <c r="D513" s="48" t="s">
        <v>52</v>
      </c>
      <c r="E513" s="48">
        <v>1.03</v>
      </c>
      <c r="F513" s="48">
        <f>TRUNC(19.97,2)</f>
        <v>19.97</v>
      </c>
      <c r="G513" s="48">
        <f t="shared" si="26"/>
        <v>20.56</v>
      </c>
      <c r="I513" s="23"/>
    </row>
    <row r="514" spans="1:9" s="10" customFormat="1" ht="18.75">
      <c r="A514" s="16"/>
      <c r="B514" s="445"/>
      <c r="C514" s="380"/>
      <c r="D514" s="48"/>
      <c r="E514" s="48" t="s">
        <v>53</v>
      </c>
      <c r="F514" s="48"/>
      <c r="G514" s="48">
        <f>TRUNC(SUM(G507:G513),2)</f>
        <v>58.98</v>
      </c>
      <c r="I514" s="23"/>
    </row>
    <row r="515" spans="1:9" s="10" customFormat="1" ht="25.5">
      <c r="A515" s="236" t="s">
        <v>683</v>
      </c>
      <c r="B515" s="195" t="s">
        <v>908</v>
      </c>
      <c r="C515" s="302" t="s">
        <v>532</v>
      </c>
      <c r="D515" s="303" t="s">
        <v>21</v>
      </c>
      <c r="E515" s="303">
        <v>1</v>
      </c>
      <c r="F515" s="303">
        <f>F516</f>
        <v>1.41</v>
      </c>
      <c r="G515" s="303">
        <f>TRUNC(E515*F515,2)</f>
        <v>1.41</v>
      </c>
      <c r="I515" s="23"/>
    </row>
    <row r="516" spans="1:9" s="10" customFormat="1" ht="25.5">
      <c r="A516" s="16"/>
      <c r="B516" s="444" t="s">
        <v>908</v>
      </c>
      <c r="C516" s="226" t="s">
        <v>532</v>
      </c>
      <c r="D516" t="s">
        <v>21</v>
      </c>
      <c r="E516">
        <v>1</v>
      </c>
      <c r="F516">
        <f>G519</f>
        <v>1.41</v>
      </c>
      <c r="G516">
        <f>TRUNC(E516*F516,2)</f>
        <v>1.41</v>
      </c>
      <c r="I516" s="23"/>
    </row>
    <row r="517" spans="1:9" s="10" customFormat="1" ht="18.75">
      <c r="A517" s="16"/>
      <c r="B517" s="444" t="s">
        <v>50</v>
      </c>
      <c r="C517" s="226" t="s">
        <v>51</v>
      </c>
      <c r="D517" t="s">
        <v>52</v>
      </c>
      <c r="E517">
        <v>0.0412</v>
      </c>
      <c r="F517">
        <f>TRUNC(14.47,2)</f>
        <v>14.47</v>
      </c>
      <c r="G517">
        <f>TRUNC(E517*F517,2)</f>
        <v>0.59</v>
      </c>
      <c r="I517" s="23"/>
    </row>
    <row r="518" spans="1:9" s="10" customFormat="1" ht="18.75">
      <c r="A518" s="16"/>
      <c r="B518" s="444" t="s">
        <v>472</v>
      </c>
      <c r="C518" s="226" t="s">
        <v>473</v>
      </c>
      <c r="D518" t="s">
        <v>52</v>
      </c>
      <c r="E518">
        <v>0.0412</v>
      </c>
      <c r="F518">
        <f>TRUNC(19.97,2)</f>
        <v>19.97</v>
      </c>
      <c r="G518">
        <f>TRUNC(E518*F518,2)</f>
        <v>0.82</v>
      </c>
      <c r="I518" s="23"/>
    </row>
    <row r="519" spans="1:9" s="10" customFormat="1" ht="18.75">
      <c r="A519" s="16"/>
      <c r="B519" s="444"/>
      <c r="C519" s="226"/>
      <c r="D519"/>
      <c r="E519" t="s">
        <v>53</v>
      </c>
      <c r="F519"/>
      <c r="G519">
        <f>TRUNC(SUM(G517:G518),2)</f>
        <v>1.41</v>
      </c>
      <c r="I519" s="23"/>
    </row>
    <row r="520" spans="1:9" s="10" customFormat="1" ht="25.5">
      <c r="A520" s="236" t="s">
        <v>684</v>
      </c>
      <c r="B520" s="195" t="s">
        <v>909</v>
      </c>
      <c r="C520" s="302" t="s">
        <v>533</v>
      </c>
      <c r="D520" s="303" t="s">
        <v>21</v>
      </c>
      <c r="E520" s="303">
        <v>1</v>
      </c>
      <c r="F520" s="303">
        <f>F521</f>
        <v>1.76</v>
      </c>
      <c r="G520" s="303">
        <f>TRUNC(E520*F520,2)</f>
        <v>1.76</v>
      </c>
      <c r="I520" s="23"/>
    </row>
    <row r="521" spans="1:7" s="10" customFormat="1" ht="25.5">
      <c r="A521" s="16"/>
      <c r="B521" s="444" t="s">
        <v>909</v>
      </c>
      <c r="C521" s="226" t="s">
        <v>533</v>
      </c>
      <c r="D521" t="s">
        <v>21</v>
      </c>
      <c r="E521">
        <v>1</v>
      </c>
      <c r="F521">
        <f>G524</f>
        <v>1.76</v>
      </c>
      <c r="G521">
        <f>TRUNC(E521*F521,2)</f>
        <v>1.76</v>
      </c>
    </row>
    <row r="522" spans="1:7" s="10" customFormat="1" ht="18.75">
      <c r="A522" s="16"/>
      <c r="B522" s="444" t="s">
        <v>50</v>
      </c>
      <c r="C522" s="226" t="s">
        <v>51</v>
      </c>
      <c r="D522" t="s">
        <v>52</v>
      </c>
      <c r="E522">
        <v>0.051500000000000004</v>
      </c>
      <c r="F522">
        <f>TRUNC(14.47,2)</f>
        <v>14.47</v>
      </c>
      <c r="G522">
        <f>TRUNC(E522*F522,2)</f>
        <v>0.74</v>
      </c>
    </row>
    <row r="523" spans="1:7" s="10" customFormat="1" ht="18.75">
      <c r="A523" s="16"/>
      <c r="B523" s="444" t="s">
        <v>472</v>
      </c>
      <c r="C523" s="226" t="s">
        <v>473</v>
      </c>
      <c r="D523" t="s">
        <v>52</v>
      </c>
      <c r="E523">
        <v>0.051500000000000004</v>
      </c>
      <c r="F523">
        <f>TRUNC(19.97,2)</f>
        <v>19.97</v>
      </c>
      <c r="G523">
        <f>TRUNC(E523*F523,2)</f>
        <v>1.02</v>
      </c>
    </row>
    <row r="524" spans="1:7" s="10" customFormat="1" ht="18.75">
      <c r="A524" s="16"/>
      <c r="B524" s="444"/>
      <c r="C524" s="226"/>
      <c r="D524"/>
      <c r="E524" t="s">
        <v>53</v>
      </c>
      <c r="F524"/>
      <c r="G524">
        <f>TRUNC(SUM(G522:G523),2)</f>
        <v>1.76</v>
      </c>
    </row>
    <row r="525" spans="1:7" s="10" customFormat="1" ht="30">
      <c r="A525" s="28" t="s">
        <v>685</v>
      </c>
      <c r="B525" s="97" t="s">
        <v>792</v>
      </c>
      <c r="C525" s="278" t="s">
        <v>570</v>
      </c>
      <c r="D525" s="15" t="s">
        <v>19</v>
      </c>
      <c r="E525" s="15">
        <v>1</v>
      </c>
      <c r="F525" s="15">
        <f>F526</f>
        <v>203.52</v>
      </c>
      <c r="G525" s="15">
        <f>TRUNC(E525*F525,2)</f>
        <v>203.52</v>
      </c>
    </row>
    <row r="526" spans="1:9" s="10" customFormat="1" ht="30">
      <c r="A526" s="25"/>
      <c r="B526" s="111" t="s">
        <v>792</v>
      </c>
      <c r="C526" s="221" t="s">
        <v>793</v>
      </c>
      <c r="D526" s="10" t="s">
        <v>19</v>
      </c>
      <c r="E526" s="10">
        <v>1</v>
      </c>
      <c r="F526" s="10">
        <f>G529</f>
        <v>203.52</v>
      </c>
      <c r="G526" s="10">
        <f>TRUNC(E526*F526,2)</f>
        <v>203.52</v>
      </c>
      <c r="I526" s="23"/>
    </row>
    <row r="527" spans="1:9" s="10" customFormat="1" ht="18.75">
      <c r="A527" s="25"/>
      <c r="B527" s="111" t="s">
        <v>50</v>
      </c>
      <c r="C527" s="221" t="s">
        <v>51</v>
      </c>
      <c r="D527" s="10" t="s">
        <v>52</v>
      </c>
      <c r="E527" s="10">
        <v>12.36</v>
      </c>
      <c r="F527" s="10">
        <f>TRUNC(14.47,2)</f>
        <v>14.47</v>
      </c>
      <c r="G527" s="10">
        <f>TRUNC(E527*F527,2)</f>
        <v>178.84</v>
      </c>
      <c r="I527" s="23"/>
    </row>
    <row r="528" spans="1:9" s="10" customFormat="1" ht="18.75">
      <c r="A528" s="25"/>
      <c r="B528" s="111" t="s">
        <v>794</v>
      </c>
      <c r="C528" s="221" t="s">
        <v>795</v>
      </c>
      <c r="D528" s="10" t="s">
        <v>52</v>
      </c>
      <c r="E528" s="10">
        <v>1.236</v>
      </c>
      <c r="F528" s="10">
        <f>TRUNC(19.97,2)</f>
        <v>19.97</v>
      </c>
      <c r="G528" s="10">
        <f>TRUNC(E528*F528,2)</f>
        <v>24.68</v>
      </c>
      <c r="I528" s="23"/>
    </row>
    <row r="529" spans="1:9" s="10" customFormat="1" ht="18.75">
      <c r="A529" s="25"/>
      <c r="B529" s="111"/>
      <c r="C529" s="221"/>
      <c r="E529" s="10" t="s">
        <v>53</v>
      </c>
      <c r="G529" s="10">
        <f>TRUNC(SUM(G527:G528),2)</f>
        <v>203.52</v>
      </c>
      <c r="I529" s="23"/>
    </row>
    <row r="530" spans="1:9" s="10" customFormat="1" ht="25.5">
      <c r="A530" s="236" t="s">
        <v>686</v>
      </c>
      <c r="B530" s="195" t="s">
        <v>1049</v>
      </c>
      <c r="C530" s="302" t="s">
        <v>540</v>
      </c>
      <c r="D530" s="303" t="s">
        <v>19</v>
      </c>
      <c r="E530" s="303">
        <v>1</v>
      </c>
      <c r="F530" s="303">
        <f>F547</f>
        <v>440.62</v>
      </c>
      <c r="G530" s="303">
        <f aca="true" t="shared" si="27" ref="G530:G538">TRUNC(E530*F530,2)</f>
        <v>440.62</v>
      </c>
      <c r="I530" s="23"/>
    </row>
    <row r="531" spans="1:9" s="10" customFormat="1" ht="25.5">
      <c r="A531" s="16"/>
      <c r="B531" s="445" t="s">
        <v>910</v>
      </c>
      <c r="C531" s="228" t="s">
        <v>540</v>
      </c>
      <c r="D531" s="48" t="s">
        <v>19</v>
      </c>
      <c r="E531" s="48">
        <v>1</v>
      </c>
      <c r="F531" s="382">
        <f>G539</f>
        <v>300.17</v>
      </c>
      <c r="G531" s="48">
        <f t="shared" si="27"/>
        <v>300.17</v>
      </c>
      <c r="I531" s="23"/>
    </row>
    <row r="532" spans="1:9" s="10" customFormat="1" ht="18.75">
      <c r="A532" s="16"/>
      <c r="B532" s="445" t="s">
        <v>911</v>
      </c>
      <c r="C532" s="228" t="s">
        <v>427</v>
      </c>
      <c r="D532" s="48" t="s">
        <v>19</v>
      </c>
      <c r="E532" s="48">
        <v>0.587</v>
      </c>
      <c r="F532" s="48">
        <f>TRUNC(62.5,2)</f>
        <v>62.5</v>
      </c>
      <c r="G532" s="48">
        <f t="shared" si="27"/>
        <v>36.68</v>
      </c>
      <c r="I532" s="23"/>
    </row>
    <row r="533" spans="1:9" s="10" customFormat="1" ht="18.75">
      <c r="A533" s="16"/>
      <c r="B533" s="445" t="s">
        <v>912</v>
      </c>
      <c r="C533" s="228" t="s">
        <v>428</v>
      </c>
      <c r="D533" s="48" t="s">
        <v>24</v>
      </c>
      <c r="E533" s="48">
        <v>322.98</v>
      </c>
      <c r="F533" s="48">
        <f>TRUNC(0.41,2)</f>
        <v>0.41</v>
      </c>
      <c r="G533" s="48">
        <f t="shared" si="27"/>
        <v>132.42</v>
      </c>
      <c r="I533" s="23"/>
    </row>
    <row r="534" spans="1:9" s="10" customFormat="1" ht="18.75">
      <c r="A534" s="16"/>
      <c r="B534" s="445" t="s">
        <v>913</v>
      </c>
      <c r="C534" s="228" t="s">
        <v>429</v>
      </c>
      <c r="D534" s="48" t="s">
        <v>19</v>
      </c>
      <c r="E534" s="48">
        <v>0.785</v>
      </c>
      <c r="F534" s="48">
        <f>TRUNC(51.43,2)</f>
        <v>51.43</v>
      </c>
      <c r="G534" s="48">
        <f t="shared" si="27"/>
        <v>40.37</v>
      </c>
      <c r="I534" s="23"/>
    </row>
    <row r="535" spans="1:9" s="10" customFormat="1" ht="18.75">
      <c r="A535" s="16"/>
      <c r="B535" s="445" t="s">
        <v>914</v>
      </c>
      <c r="C535" s="228" t="s">
        <v>430</v>
      </c>
      <c r="D535" s="48" t="s">
        <v>52</v>
      </c>
      <c r="E535" s="48">
        <v>1.6</v>
      </c>
      <c r="F535" s="48">
        <f>TRUNC(22.2,2)</f>
        <v>22.2</v>
      </c>
      <c r="G535" s="48">
        <f t="shared" si="27"/>
        <v>35.52</v>
      </c>
      <c r="I535" s="23"/>
    </row>
    <row r="536" spans="1:9" s="10" customFormat="1" ht="18.75">
      <c r="A536" s="16"/>
      <c r="B536" s="445" t="s">
        <v>54</v>
      </c>
      <c r="C536" s="228" t="s">
        <v>55</v>
      </c>
      <c r="D536" s="48" t="s">
        <v>52</v>
      </c>
      <c r="E536" s="48">
        <v>2.53</v>
      </c>
      <c r="F536" s="48">
        <f>TRUNC(21.24,2)</f>
        <v>21.24</v>
      </c>
      <c r="G536" s="48">
        <f t="shared" si="27"/>
        <v>53.73</v>
      </c>
      <c r="I536" s="23"/>
    </row>
    <row r="537" spans="1:9" s="10" customFormat="1" ht="25.5">
      <c r="A537" s="16"/>
      <c r="B537" s="445" t="s">
        <v>915</v>
      </c>
      <c r="C537" s="228" t="s">
        <v>431</v>
      </c>
      <c r="D537" s="48" t="s">
        <v>56</v>
      </c>
      <c r="E537" s="48">
        <v>0.78</v>
      </c>
      <c r="F537" s="48">
        <f>TRUNC(0.31,2)</f>
        <v>0.31</v>
      </c>
      <c r="G537" s="48">
        <f t="shared" si="27"/>
        <v>0.24</v>
      </c>
      <c r="I537" s="23"/>
    </row>
    <row r="538" spans="1:9" s="10" customFormat="1" ht="25.5">
      <c r="A538" s="16"/>
      <c r="B538" s="445" t="s">
        <v>916</v>
      </c>
      <c r="C538" s="228" t="s">
        <v>432</v>
      </c>
      <c r="D538" s="48" t="s">
        <v>57</v>
      </c>
      <c r="E538" s="48">
        <v>0.83</v>
      </c>
      <c r="F538" s="48">
        <f>TRUNC(1.46,2)</f>
        <v>1.46</v>
      </c>
      <c r="G538" s="48">
        <f t="shared" si="27"/>
        <v>1.21</v>
      </c>
      <c r="I538" s="23"/>
    </row>
    <row r="539" spans="1:9" s="10" customFormat="1" ht="18.75">
      <c r="A539" s="16"/>
      <c r="B539" s="445"/>
      <c r="C539" s="228"/>
      <c r="D539" s="48"/>
      <c r="E539" s="48" t="s">
        <v>53</v>
      </c>
      <c r="F539" s="48"/>
      <c r="G539" s="48">
        <f>TRUNC(SUM(G532:G538),2)</f>
        <v>300.17</v>
      </c>
      <c r="I539" s="23"/>
    </row>
    <row r="540" spans="1:9" s="10" customFormat="1" ht="18.75">
      <c r="A540" s="16"/>
      <c r="B540" s="452"/>
      <c r="C540" s="228"/>
      <c r="D540" s="48"/>
      <c r="E540" s="48"/>
      <c r="F540" s="48"/>
      <c r="G540" s="49"/>
      <c r="I540" s="23"/>
    </row>
    <row r="541" spans="1:9" s="10" customFormat="1" ht="18.75">
      <c r="A541" s="16"/>
      <c r="B541" s="452" t="s">
        <v>917</v>
      </c>
      <c r="C541" s="228" t="s">
        <v>433</v>
      </c>
      <c r="D541" s="48" t="s">
        <v>19</v>
      </c>
      <c r="E541" s="48">
        <v>1</v>
      </c>
      <c r="F541" s="382">
        <f>G545</f>
        <v>140.45</v>
      </c>
      <c r="G541" s="49">
        <f>TRUNC(E541*F541,2)</f>
        <v>140.45</v>
      </c>
      <c r="I541" s="23"/>
    </row>
    <row r="542" spans="1:9" s="10" customFormat="1" ht="18.75">
      <c r="A542" s="16"/>
      <c r="B542" s="452" t="s">
        <v>54</v>
      </c>
      <c r="C542" s="228" t="s">
        <v>55</v>
      </c>
      <c r="D542" s="48" t="s">
        <v>52</v>
      </c>
      <c r="E542" s="48">
        <v>4.5</v>
      </c>
      <c r="F542" s="48">
        <f>TRUNC(21.24,2)</f>
        <v>21.24</v>
      </c>
      <c r="G542" s="49">
        <f>TRUNC(E542*F542,2)</f>
        <v>95.58</v>
      </c>
      <c r="I542" s="23"/>
    </row>
    <row r="543" spans="1:9" s="10" customFormat="1" ht="18.75">
      <c r="A543" s="16"/>
      <c r="B543" s="452" t="s">
        <v>118</v>
      </c>
      <c r="C543" s="228" t="s">
        <v>119</v>
      </c>
      <c r="D543" s="48" t="s">
        <v>52</v>
      </c>
      <c r="E543" s="48">
        <v>1.65</v>
      </c>
      <c r="F543" s="48">
        <f>TRUNC(26.95,2)</f>
        <v>26.95</v>
      </c>
      <c r="G543" s="49">
        <f>TRUNC(E543*F543,2)</f>
        <v>44.46</v>
      </c>
      <c r="I543" s="23"/>
    </row>
    <row r="544" spans="1:9" s="10" customFormat="1" ht="25.5">
      <c r="A544" s="16"/>
      <c r="B544" s="452" t="s">
        <v>824</v>
      </c>
      <c r="C544" s="228" t="s">
        <v>825</v>
      </c>
      <c r="D544" s="48" t="s">
        <v>57</v>
      </c>
      <c r="E544" s="48">
        <v>0.3</v>
      </c>
      <c r="F544" s="48">
        <f>TRUNC(1.39,2)</f>
        <v>1.39</v>
      </c>
      <c r="G544" s="49">
        <f>TRUNC(E544*F544,2)</f>
        <v>0.41</v>
      </c>
      <c r="I544" s="23"/>
    </row>
    <row r="545" spans="1:9" s="10" customFormat="1" ht="18.75">
      <c r="A545" s="16"/>
      <c r="B545" s="452"/>
      <c r="C545" s="228"/>
      <c r="D545" s="48"/>
      <c r="E545" s="48" t="s">
        <v>53</v>
      </c>
      <c r="F545" s="48"/>
      <c r="G545" s="49">
        <f>TRUNC(SUM(G542:G544),2)</f>
        <v>140.45</v>
      </c>
      <c r="I545" s="23"/>
    </row>
    <row r="546" spans="1:9" s="10" customFormat="1" ht="18.75">
      <c r="A546" s="16"/>
      <c r="B546" s="452"/>
      <c r="C546" s="228"/>
      <c r="D546" s="48"/>
      <c r="E546" s="48"/>
      <c r="F546" s="48"/>
      <c r="G546" s="49"/>
      <c r="I546" s="23"/>
    </row>
    <row r="547" spans="1:9" s="10" customFormat="1" ht="19.5" thickBot="1">
      <c r="A547" s="245"/>
      <c r="B547" s="453"/>
      <c r="C547" s="333"/>
      <c r="D547" s="334" t="s">
        <v>541</v>
      </c>
      <c r="E547" s="334"/>
      <c r="F547" s="334">
        <f>F531+F541</f>
        <v>440.62</v>
      </c>
      <c r="G547" s="335" t="s">
        <v>435</v>
      </c>
      <c r="I547" s="23"/>
    </row>
    <row r="548" spans="1:9" s="10" customFormat="1" ht="18.75">
      <c r="A548" s="16"/>
      <c r="B548" s="235"/>
      <c r="C548" s="220"/>
      <c r="D548" s="24"/>
      <c r="E548" s="24"/>
      <c r="F548" s="24"/>
      <c r="I548" s="23"/>
    </row>
    <row r="549" spans="1:9" s="10" customFormat="1" ht="18.75">
      <c r="A549" s="238" t="s">
        <v>687</v>
      </c>
      <c r="B549" s="454"/>
      <c r="C549" s="240" t="s">
        <v>306</v>
      </c>
      <c r="D549" s="310"/>
      <c r="E549" s="310"/>
      <c r="F549" s="310"/>
      <c r="G549" s="310"/>
      <c r="I549" s="23"/>
    </row>
    <row r="550" spans="1:9" s="376" customFormat="1" ht="45">
      <c r="A550" s="248" t="s">
        <v>688</v>
      </c>
      <c r="B550" s="139" t="s">
        <v>1052</v>
      </c>
      <c r="C550" s="255" t="s">
        <v>27</v>
      </c>
      <c r="D550" s="256" t="s">
        <v>21</v>
      </c>
      <c r="E550" s="63">
        <v>1</v>
      </c>
      <c r="F550" s="63">
        <f>G559</f>
        <v>1079.1299999999999</v>
      </c>
      <c r="G550" s="63">
        <f>TRUNC(E550*F550,2)</f>
        <v>1079.13</v>
      </c>
      <c r="I550" s="383"/>
    </row>
    <row r="551" spans="1:9" s="376" customFormat="1" ht="30">
      <c r="A551" s="375"/>
      <c r="B551" s="252" t="s">
        <v>1050</v>
      </c>
      <c r="C551" s="230" t="s">
        <v>1051</v>
      </c>
      <c r="D551" s="59" t="s">
        <v>21</v>
      </c>
      <c r="E551" s="60">
        <v>1</v>
      </c>
      <c r="F551" s="60">
        <f>G559</f>
        <v>1079.1299999999999</v>
      </c>
      <c r="G551" s="472">
        <f>TRUNC(E551*F551,2)</f>
        <v>1079.13</v>
      </c>
      <c r="I551" s="383"/>
    </row>
    <row r="552" spans="1:9" s="376" customFormat="1" ht="18.75">
      <c r="A552" s="375"/>
      <c r="B552" s="315" t="s">
        <v>122</v>
      </c>
      <c r="C552" s="253" t="s">
        <v>123</v>
      </c>
      <c r="D552" s="52" t="s">
        <v>24</v>
      </c>
      <c r="E552" s="472">
        <v>0.1469</v>
      </c>
      <c r="F552" s="472">
        <v>44.3</v>
      </c>
      <c r="G552" s="472">
        <f>TRUNC(E552*F552,2)</f>
        <v>6.5</v>
      </c>
      <c r="I552" s="383"/>
    </row>
    <row r="553" spans="1:9" s="386" customFormat="1" ht="30">
      <c r="A553" s="473"/>
      <c r="B553" s="441" t="s">
        <v>124</v>
      </c>
      <c r="C553" s="311" t="s">
        <v>125</v>
      </c>
      <c r="D553" s="286" t="s">
        <v>21</v>
      </c>
      <c r="E553" s="474">
        <v>1</v>
      </c>
      <c r="F553" s="474">
        <v>672.09</v>
      </c>
      <c r="G553" s="472"/>
      <c r="I553" s="387"/>
    </row>
    <row r="554" spans="1:9" s="385" customFormat="1" ht="18.75">
      <c r="A554" s="53"/>
      <c r="B554" s="475" t="s">
        <v>121</v>
      </c>
      <c r="C554" s="476" t="s">
        <v>126</v>
      </c>
      <c r="D554" s="477" t="s">
        <v>21</v>
      </c>
      <c r="E554" s="478">
        <v>1</v>
      </c>
      <c r="F554" s="478">
        <v>1009.15</v>
      </c>
      <c r="G554" s="478">
        <f>TRUNC(E554*F554,2)</f>
        <v>1009.15</v>
      </c>
      <c r="I554" s="383"/>
    </row>
    <row r="555" spans="1:9" s="385" customFormat="1" ht="18.75">
      <c r="A555" s="53"/>
      <c r="B555" s="315" t="s">
        <v>127</v>
      </c>
      <c r="C555" s="253" t="s">
        <v>128</v>
      </c>
      <c r="D555" s="52" t="s">
        <v>21</v>
      </c>
      <c r="E555" s="472">
        <v>1</v>
      </c>
      <c r="F555" s="472">
        <v>2.19</v>
      </c>
      <c r="G555" s="472">
        <f>TRUNC(E555*F555,2)</f>
        <v>2.19</v>
      </c>
      <c r="I555" s="383"/>
    </row>
    <row r="556" spans="1:9" s="385" customFormat="1" ht="30">
      <c r="A556" s="53"/>
      <c r="B556" s="315" t="s">
        <v>129</v>
      </c>
      <c r="C556" s="253" t="s">
        <v>130</v>
      </c>
      <c r="D556" s="52" t="s">
        <v>21</v>
      </c>
      <c r="E556" s="472">
        <v>2</v>
      </c>
      <c r="F556" s="472">
        <v>15.58</v>
      </c>
      <c r="G556" s="472">
        <f>TRUNC(E556*F556,2)</f>
        <v>31.16</v>
      </c>
      <c r="I556" s="383"/>
    </row>
    <row r="557" spans="1:9" s="385" customFormat="1" ht="18.75">
      <c r="A557" s="53"/>
      <c r="B557" s="315" t="s">
        <v>54</v>
      </c>
      <c r="C557" s="253" t="s">
        <v>55</v>
      </c>
      <c r="D557" s="52" t="s">
        <v>52</v>
      </c>
      <c r="E557" s="472">
        <v>0.44</v>
      </c>
      <c r="F557" s="472">
        <f>TRUNC(21.24,2)</f>
        <v>21.24</v>
      </c>
      <c r="G557" s="472">
        <f>TRUNC(E557*F557,2)</f>
        <v>9.34</v>
      </c>
      <c r="I557" s="383"/>
    </row>
    <row r="558" spans="1:9" s="385" customFormat="1" ht="18.75">
      <c r="A558" s="53"/>
      <c r="B558" s="315" t="s">
        <v>131</v>
      </c>
      <c r="C558" s="253" t="s">
        <v>59</v>
      </c>
      <c r="D558" s="52" t="s">
        <v>52</v>
      </c>
      <c r="E558" s="472">
        <v>0.78</v>
      </c>
      <c r="F558" s="472">
        <f>TRUNC(26.66,2)</f>
        <v>26.66</v>
      </c>
      <c r="G558" s="472">
        <f>TRUNC(E558*F558,2)</f>
        <v>20.79</v>
      </c>
      <c r="I558" s="388"/>
    </row>
    <row r="559" spans="1:7" s="385" customFormat="1" ht="18.75">
      <c r="A559" s="53"/>
      <c r="B559" s="315"/>
      <c r="C559" s="253"/>
      <c r="D559" s="52"/>
      <c r="E559" s="472" t="s">
        <v>53</v>
      </c>
      <c r="F559" s="472"/>
      <c r="G559" s="472">
        <f>SUM(G552:G558)</f>
        <v>1079.1299999999999</v>
      </c>
    </row>
    <row r="560" spans="1:7" ht="60">
      <c r="A560" s="254" t="s">
        <v>689</v>
      </c>
      <c r="B560" s="141" t="s">
        <v>918</v>
      </c>
      <c r="C560" s="255" t="s">
        <v>149</v>
      </c>
      <c r="D560" s="256" t="s">
        <v>21</v>
      </c>
      <c r="E560" s="256">
        <v>1</v>
      </c>
      <c r="F560" s="256">
        <f>F561</f>
        <v>107.12</v>
      </c>
      <c r="G560" s="256">
        <f>TRUNC(E560*F560,2)</f>
        <v>107.12</v>
      </c>
    </row>
    <row r="561" spans="1:7" ht="60">
      <c r="A561" s="61"/>
      <c r="B561" s="399" t="s">
        <v>918</v>
      </c>
      <c r="C561" s="230" t="s">
        <v>149</v>
      </c>
      <c r="D561" s="59" t="s">
        <v>21</v>
      </c>
      <c r="E561" s="59">
        <v>1</v>
      </c>
      <c r="F561" s="59">
        <f>G565</f>
        <v>107.12</v>
      </c>
      <c r="G561" s="59">
        <f>TRUNC(E561*F561,2)</f>
        <v>107.12</v>
      </c>
    </row>
    <row r="562" spans="1:7" ht="18.75">
      <c r="A562" s="61"/>
      <c r="B562" s="399" t="s">
        <v>150</v>
      </c>
      <c r="C562" s="230" t="s">
        <v>151</v>
      </c>
      <c r="D562" s="59" t="s">
        <v>21</v>
      </c>
      <c r="E562" s="59">
        <v>1</v>
      </c>
      <c r="F562" s="59">
        <f>TRUNC(71.66,2)</f>
        <v>71.66</v>
      </c>
      <c r="G562" s="59">
        <f>TRUNC(E562*F562,2)</f>
        <v>71.66</v>
      </c>
    </row>
    <row r="563" spans="1:7" ht="18.75">
      <c r="A563" s="61"/>
      <c r="B563" s="399" t="s">
        <v>50</v>
      </c>
      <c r="C563" s="230" t="s">
        <v>51</v>
      </c>
      <c r="D563" s="59" t="s">
        <v>52</v>
      </c>
      <c r="E563" s="59">
        <v>1.03</v>
      </c>
      <c r="F563" s="59">
        <f>TRUNC(14.47,2)</f>
        <v>14.47</v>
      </c>
      <c r="G563" s="59">
        <f>TRUNC(E563*F563,2)</f>
        <v>14.9</v>
      </c>
    </row>
    <row r="564" spans="1:7" ht="18.75">
      <c r="A564" s="61"/>
      <c r="B564" s="399" t="s">
        <v>794</v>
      </c>
      <c r="C564" s="230" t="s">
        <v>795</v>
      </c>
      <c r="D564" s="59" t="s">
        <v>52</v>
      </c>
      <c r="E564" s="59">
        <v>1.03</v>
      </c>
      <c r="F564" s="59">
        <f>TRUNC(19.97,2)</f>
        <v>19.97</v>
      </c>
      <c r="G564" s="59">
        <f>TRUNC(E564*F564,2)</f>
        <v>20.56</v>
      </c>
    </row>
    <row r="565" spans="1:7" ht="18.75">
      <c r="A565" s="61"/>
      <c r="B565" s="399"/>
      <c r="C565" s="230"/>
      <c r="D565" s="59"/>
      <c r="E565" s="59" t="s">
        <v>53</v>
      </c>
      <c r="F565" s="59"/>
      <c r="G565" s="59">
        <f>TRUNC(SUM(G562:G564),2)</f>
        <v>107.12</v>
      </c>
    </row>
    <row r="566" spans="1:7" ht="60">
      <c r="A566" s="254" t="s">
        <v>690</v>
      </c>
      <c r="B566" s="141" t="s">
        <v>919</v>
      </c>
      <c r="C566" s="255" t="s">
        <v>152</v>
      </c>
      <c r="D566" s="256" t="s">
        <v>21</v>
      </c>
      <c r="E566" s="256">
        <v>1</v>
      </c>
      <c r="F566" s="256">
        <f>F567</f>
        <v>129.96</v>
      </c>
      <c r="G566" s="256">
        <f>TRUNC(E566*F566,2)</f>
        <v>129.96</v>
      </c>
    </row>
    <row r="567" spans="1:7" ht="60">
      <c r="A567" s="61"/>
      <c r="B567" s="399" t="s">
        <v>919</v>
      </c>
      <c r="C567" s="230" t="s">
        <v>152</v>
      </c>
      <c r="D567" s="59" t="s">
        <v>21</v>
      </c>
      <c r="E567" s="59">
        <v>1</v>
      </c>
      <c r="F567" s="59">
        <f>G571</f>
        <v>129.96</v>
      </c>
      <c r="G567" s="59">
        <f>TRUNC(E567*F567,2)</f>
        <v>129.96</v>
      </c>
    </row>
    <row r="568" spans="1:7" ht="18.75">
      <c r="A568" s="61"/>
      <c r="B568" s="399" t="s">
        <v>153</v>
      </c>
      <c r="C568" s="230" t="s">
        <v>154</v>
      </c>
      <c r="D568" s="59" t="s">
        <v>21</v>
      </c>
      <c r="E568" s="59">
        <v>1</v>
      </c>
      <c r="F568" s="59">
        <f>TRUNC(94.5,2)</f>
        <v>94.5</v>
      </c>
      <c r="G568" s="59">
        <f>TRUNC(E568*F568,2)</f>
        <v>94.5</v>
      </c>
    </row>
    <row r="569" spans="1:7" ht="18.75">
      <c r="A569" s="61"/>
      <c r="B569" s="399" t="s">
        <v>50</v>
      </c>
      <c r="C569" s="230" t="s">
        <v>51</v>
      </c>
      <c r="D569" s="59" t="s">
        <v>52</v>
      </c>
      <c r="E569" s="59">
        <v>1.03</v>
      </c>
      <c r="F569" s="59">
        <f>TRUNC(14.47,2)</f>
        <v>14.47</v>
      </c>
      <c r="G569" s="59">
        <f>TRUNC(E569*F569,2)</f>
        <v>14.9</v>
      </c>
    </row>
    <row r="570" spans="1:7" ht="18.75">
      <c r="A570" s="61"/>
      <c r="B570" s="399" t="s">
        <v>794</v>
      </c>
      <c r="C570" s="230" t="s">
        <v>795</v>
      </c>
      <c r="D570" s="59" t="s">
        <v>52</v>
      </c>
      <c r="E570" s="59">
        <v>1.03</v>
      </c>
      <c r="F570" s="59">
        <f>TRUNC(19.97,2)</f>
        <v>19.97</v>
      </c>
      <c r="G570" s="59">
        <f>TRUNC(E570*F570,2)</f>
        <v>20.56</v>
      </c>
    </row>
    <row r="571" spans="1:7" ht="18.75">
      <c r="A571" s="61"/>
      <c r="B571" s="399"/>
      <c r="C571" s="230"/>
      <c r="D571" s="59"/>
      <c r="E571" s="59" t="s">
        <v>53</v>
      </c>
      <c r="F571" s="59"/>
      <c r="G571" s="59">
        <f>TRUNC(SUM(G568:G570),2)</f>
        <v>129.96</v>
      </c>
    </row>
    <row r="572" spans="1:7" ht="60">
      <c r="A572" s="28" t="s">
        <v>691</v>
      </c>
      <c r="B572" s="97" t="s">
        <v>920</v>
      </c>
      <c r="C572" s="278" t="s">
        <v>561</v>
      </c>
      <c r="D572" s="15" t="s">
        <v>21</v>
      </c>
      <c r="E572" s="27">
        <v>1</v>
      </c>
      <c r="F572" s="27">
        <f>F573</f>
        <v>202.04</v>
      </c>
      <c r="G572" s="27">
        <f aca="true" t="shared" si="28" ref="G572:G578">TRUNC(E572*F572,2)</f>
        <v>202.04</v>
      </c>
    </row>
    <row r="573" spans="1:7" ht="60">
      <c r="A573" s="25"/>
      <c r="B573" s="111" t="s">
        <v>920</v>
      </c>
      <c r="C573" s="221" t="s">
        <v>561</v>
      </c>
      <c r="D573" s="10" t="s">
        <v>21</v>
      </c>
      <c r="E573" s="3">
        <v>1</v>
      </c>
      <c r="F573" s="3">
        <f>G579</f>
        <v>202.04</v>
      </c>
      <c r="G573" s="3">
        <f t="shared" si="28"/>
        <v>202.04</v>
      </c>
    </row>
    <row r="574" spans="1:7" ht="30">
      <c r="A574" s="25"/>
      <c r="B574" s="111" t="s">
        <v>224</v>
      </c>
      <c r="C574" s="221" t="s">
        <v>225</v>
      </c>
      <c r="D574" s="10" t="s">
        <v>21</v>
      </c>
      <c r="E574" s="3">
        <v>1</v>
      </c>
      <c r="F574" s="3">
        <f>TRUNC(73.38,2)</f>
        <v>73.38</v>
      </c>
      <c r="G574" s="3">
        <f t="shared" si="28"/>
        <v>73.38</v>
      </c>
    </row>
    <row r="575" spans="1:7" ht="18.75">
      <c r="A575" s="25"/>
      <c r="B575" s="111" t="s">
        <v>226</v>
      </c>
      <c r="C575" s="221" t="s">
        <v>227</v>
      </c>
      <c r="D575" s="10" t="s">
        <v>21</v>
      </c>
      <c r="E575" s="3">
        <v>1</v>
      </c>
      <c r="F575" s="3">
        <f>TRUNC(24.24,2)</f>
        <v>24.24</v>
      </c>
      <c r="G575" s="3">
        <f t="shared" si="28"/>
        <v>24.24</v>
      </c>
    </row>
    <row r="576" spans="1:7" ht="18.75">
      <c r="A576" s="25"/>
      <c r="B576" s="111" t="s">
        <v>228</v>
      </c>
      <c r="C576" s="221" t="s">
        <v>229</v>
      </c>
      <c r="D576" s="10" t="s">
        <v>21</v>
      </c>
      <c r="E576" s="3">
        <v>1</v>
      </c>
      <c r="F576" s="3">
        <f>TRUNC(86.65,2)</f>
        <v>86.65</v>
      </c>
      <c r="G576" s="3">
        <f t="shared" si="28"/>
        <v>86.65</v>
      </c>
    </row>
    <row r="577" spans="1:7" ht="18.75">
      <c r="A577" s="25"/>
      <c r="B577" s="111" t="s">
        <v>132</v>
      </c>
      <c r="C577" s="221" t="s">
        <v>133</v>
      </c>
      <c r="D577" s="10" t="s">
        <v>21</v>
      </c>
      <c r="E577" s="3">
        <v>1</v>
      </c>
      <c r="F577" s="3">
        <f>TRUNC(2.02,2)</f>
        <v>2.02</v>
      </c>
      <c r="G577" s="3">
        <f t="shared" si="28"/>
        <v>2.02</v>
      </c>
    </row>
    <row r="578" spans="1:7" ht="18.75">
      <c r="A578" s="25"/>
      <c r="B578" s="111" t="s">
        <v>230</v>
      </c>
      <c r="C578" s="221" t="s">
        <v>231</v>
      </c>
      <c r="D578" s="10" t="s">
        <v>21</v>
      </c>
      <c r="E578" s="3">
        <v>1</v>
      </c>
      <c r="F578" s="3">
        <f>TRUNC(15.75,2)</f>
        <v>15.75</v>
      </c>
      <c r="G578" s="3">
        <f t="shared" si="28"/>
        <v>15.75</v>
      </c>
    </row>
    <row r="579" spans="1:7" ht="18.75">
      <c r="A579" s="25"/>
      <c r="B579" s="111"/>
      <c r="C579" s="221"/>
      <c r="D579" s="10"/>
      <c r="E579" s="3" t="s">
        <v>53</v>
      </c>
      <c r="F579" s="3"/>
      <c r="G579" s="3">
        <f>TRUNC(SUM(G574:G578),2)</f>
        <v>202.04</v>
      </c>
    </row>
    <row r="580" spans="1:7" s="52" customFormat="1" ht="30">
      <c r="A580" s="357" t="s">
        <v>692</v>
      </c>
      <c r="B580" s="358" t="s">
        <v>1055</v>
      </c>
      <c r="C580" s="492" t="s">
        <v>28</v>
      </c>
      <c r="D580" s="360" t="s">
        <v>21</v>
      </c>
      <c r="E580" s="360">
        <v>1</v>
      </c>
      <c r="F580" s="360">
        <f>G587</f>
        <v>219.76000000000002</v>
      </c>
      <c r="G580" s="360">
        <f>TRUNC(E580*F580,2)</f>
        <v>219.76</v>
      </c>
    </row>
    <row r="581" spans="1:7" ht="30">
      <c r="A581" s="293"/>
      <c r="B581" s="369" t="s">
        <v>1053</v>
      </c>
      <c r="C581" s="485" t="s">
        <v>1054</v>
      </c>
      <c r="D581" s="295" t="s">
        <v>21</v>
      </c>
      <c r="E581" s="295"/>
      <c r="F581" s="295">
        <f>G587</f>
        <v>219.76000000000002</v>
      </c>
      <c r="G581" s="296"/>
    </row>
    <row r="582" spans="1:7" ht="30">
      <c r="A582" s="297"/>
      <c r="B582" s="442" t="s">
        <v>138</v>
      </c>
      <c r="C582" s="483" t="s">
        <v>139</v>
      </c>
      <c r="D582" s="484" t="s">
        <v>21</v>
      </c>
      <c r="E582" s="484">
        <v>1</v>
      </c>
      <c r="F582" s="484">
        <v>34.7</v>
      </c>
      <c r="G582" s="486"/>
    </row>
    <row r="583" spans="1:7" s="54" customFormat="1" ht="15.75">
      <c r="A583" s="487"/>
      <c r="B583" s="479" t="s">
        <v>121</v>
      </c>
      <c r="C583" s="480" t="s">
        <v>140</v>
      </c>
      <c r="D583" s="481" t="s">
        <v>21</v>
      </c>
      <c r="E583" s="482">
        <v>1</v>
      </c>
      <c r="F583" s="482">
        <v>215.65</v>
      </c>
      <c r="G583" s="488">
        <f>E583*F583</f>
        <v>215.65</v>
      </c>
    </row>
    <row r="584" spans="1:7" ht="18.75">
      <c r="A584" s="297"/>
      <c r="B584" s="399" t="s">
        <v>921</v>
      </c>
      <c r="C584" s="230" t="s">
        <v>58</v>
      </c>
      <c r="D584" s="59" t="s">
        <v>21</v>
      </c>
      <c r="E584" s="59">
        <v>0.0304</v>
      </c>
      <c r="F584" s="59">
        <v>2.9</v>
      </c>
      <c r="G584" s="299">
        <f>TRUNC(E584*F584,2)</f>
        <v>0.08</v>
      </c>
    </row>
    <row r="585" spans="1:9" s="10" customFormat="1" ht="18.75">
      <c r="A585" s="297"/>
      <c r="B585" s="399" t="s">
        <v>54</v>
      </c>
      <c r="C585" s="230" t="s">
        <v>55</v>
      </c>
      <c r="D585" s="59" t="s">
        <v>52</v>
      </c>
      <c r="E585" s="59">
        <v>0.04</v>
      </c>
      <c r="F585" s="59">
        <f>TRUNC(21.24,2)</f>
        <v>21.24</v>
      </c>
      <c r="G585" s="299">
        <f>TRUNC(E585*F585,2)</f>
        <v>0.84</v>
      </c>
      <c r="I585" s="2"/>
    </row>
    <row r="586" spans="1:7" ht="18.75">
      <c r="A586" s="489"/>
      <c r="B586" s="399" t="s">
        <v>131</v>
      </c>
      <c r="C586" s="230" t="s">
        <v>59</v>
      </c>
      <c r="D586" s="59" t="s">
        <v>52</v>
      </c>
      <c r="E586" s="59">
        <v>0.12</v>
      </c>
      <c r="F586" s="59">
        <f>TRUNC(26.66,2)</f>
        <v>26.66</v>
      </c>
      <c r="G586" s="299">
        <f>TRUNC(E586*F586,2)</f>
        <v>3.19</v>
      </c>
    </row>
    <row r="587" spans="1:7" ht="18.75">
      <c r="A587" s="361"/>
      <c r="B587" s="490"/>
      <c r="C587" s="491"/>
      <c r="D587" s="363"/>
      <c r="E587" s="363" t="s">
        <v>53</v>
      </c>
      <c r="F587" s="363"/>
      <c r="G587" s="364">
        <f>SUM(G582:G586)</f>
        <v>219.76000000000002</v>
      </c>
    </row>
    <row r="588" spans="1:7" s="52" customFormat="1" ht="45">
      <c r="A588" s="493" t="s">
        <v>693</v>
      </c>
      <c r="B588" s="494" t="s">
        <v>1056</v>
      </c>
      <c r="C588" s="495" t="s">
        <v>232</v>
      </c>
      <c r="D588" s="496" t="s">
        <v>21</v>
      </c>
      <c r="E588" s="497">
        <v>1</v>
      </c>
      <c r="F588" s="497">
        <f>F589</f>
        <v>2264.69</v>
      </c>
      <c r="G588" s="498">
        <f>TRUNC(E588*F588,2)</f>
        <v>2264.69</v>
      </c>
    </row>
    <row r="589" spans="1:7" s="52" customFormat="1" ht="75">
      <c r="A589" s="61"/>
      <c r="B589" s="499" t="s">
        <v>922</v>
      </c>
      <c r="C589" s="313" t="s">
        <v>923</v>
      </c>
      <c r="D589" s="466" t="s">
        <v>21</v>
      </c>
      <c r="E589" s="500">
        <v>1</v>
      </c>
      <c r="F589" s="500">
        <f>G598</f>
        <v>2264.69</v>
      </c>
      <c r="G589" s="60">
        <f>TRUNC(E589*F589,2)</f>
        <v>2264.69</v>
      </c>
    </row>
    <row r="590" spans="1:7" s="52" customFormat="1" ht="18.75">
      <c r="A590" s="61"/>
      <c r="B590" s="499" t="s">
        <v>134</v>
      </c>
      <c r="C590" s="313" t="s">
        <v>135</v>
      </c>
      <c r="D590" s="466" t="s">
        <v>21</v>
      </c>
      <c r="E590" s="500">
        <v>1</v>
      </c>
      <c r="F590" s="500">
        <f>TRUNC(29.77,2)</f>
        <v>29.77</v>
      </c>
      <c r="G590" s="60">
        <f>TRUNC(E590*F590,2)</f>
        <v>29.77</v>
      </c>
    </row>
    <row r="591" spans="1:7" s="52" customFormat="1" ht="30">
      <c r="A591" s="61"/>
      <c r="B591" s="501" t="s">
        <v>141</v>
      </c>
      <c r="C591" s="314" t="s">
        <v>142</v>
      </c>
      <c r="D591" s="469" t="s">
        <v>21</v>
      </c>
      <c r="E591" s="502">
        <v>1</v>
      </c>
      <c r="F591" s="502">
        <f>TRUNC(1837.3621,2)</f>
        <v>1837.36</v>
      </c>
      <c r="G591" s="60"/>
    </row>
    <row r="592" spans="1:9" s="59" customFormat="1" ht="28.5">
      <c r="A592" s="503"/>
      <c r="B592" s="504" t="s">
        <v>121</v>
      </c>
      <c r="C592" s="505" t="s">
        <v>233</v>
      </c>
      <c r="D592" s="506" t="s">
        <v>21</v>
      </c>
      <c r="E592" s="507">
        <v>1</v>
      </c>
      <c r="F592" s="507">
        <v>2128.86</v>
      </c>
      <c r="G592" s="508">
        <f>TRUNC(E592*F592,2)</f>
        <v>2128.86</v>
      </c>
      <c r="I592" s="52"/>
    </row>
    <row r="593" spans="1:7" s="52" customFormat="1" ht="18.75">
      <c r="A593" s="61"/>
      <c r="B593" s="499" t="s">
        <v>136</v>
      </c>
      <c r="C593" s="313" t="s">
        <v>137</v>
      </c>
      <c r="D593" s="466" t="s">
        <v>21</v>
      </c>
      <c r="E593" s="500">
        <v>1</v>
      </c>
      <c r="F593" s="500">
        <f>TRUNC(70.6,2)</f>
        <v>70.6</v>
      </c>
      <c r="G593" s="60">
        <f>TRUNC(E593*F593,2)</f>
        <v>70.6</v>
      </c>
    </row>
    <row r="594" spans="1:7" s="52" customFormat="1" ht="18.75">
      <c r="A594" s="61"/>
      <c r="B594" s="499" t="s">
        <v>50</v>
      </c>
      <c r="C594" s="313" t="s">
        <v>51</v>
      </c>
      <c r="D594" s="466" t="s">
        <v>52</v>
      </c>
      <c r="E594" s="500">
        <v>1.03</v>
      </c>
      <c r="F594" s="500">
        <f>TRUNC(14.47,2)</f>
        <v>14.47</v>
      </c>
      <c r="G594" s="60">
        <f>TRUNC(E594*F594,2)</f>
        <v>14.9</v>
      </c>
    </row>
    <row r="595" spans="1:7" s="52" customFormat="1" ht="18.75">
      <c r="A595" s="61"/>
      <c r="B595" s="499" t="s">
        <v>794</v>
      </c>
      <c r="C595" s="313" t="s">
        <v>795</v>
      </c>
      <c r="D595" s="466" t="s">
        <v>52</v>
      </c>
      <c r="E595" s="500">
        <v>1.03</v>
      </c>
      <c r="F595" s="500">
        <f>TRUNC(19.97,2)</f>
        <v>19.97</v>
      </c>
      <c r="G595" s="60">
        <f>TRUNC(E595*F595,2)</f>
        <v>20.56</v>
      </c>
    </row>
    <row r="596" spans="1:7" s="52" customFormat="1" ht="18.75">
      <c r="A596" s="61"/>
      <c r="B596" s="501" t="s">
        <v>143</v>
      </c>
      <c r="C596" s="314" t="s">
        <v>144</v>
      </c>
      <c r="D596" s="469" t="s">
        <v>19</v>
      </c>
      <c r="E596" s="502">
        <v>0.04</v>
      </c>
      <c r="F596" s="502">
        <f>TRUNC(1510.7861,2)</f>
        <v>1510.78</v>
      </c>
      <c r="G596" s="60"/>
    </row>
    <row r="597" spans="1:7" s="52" customFormat="1" ht="18.75">
      <c r="A597" s="61"/>
      <c r="B597" s="501" t="s">
        <v>145</v>
      </c>
      <c r="C597" s="314" t="s">
        <v>146</v>
      </c>
      <c r="D597" s="469" t="s">
        <v>15</v>
      </c>
      <c r="E597" s="502">
        <v>1.2</v>
      </c>
      <c r="F597" s="502">
        <f>TRUNC(48.1851,2)</f>
        <v>48.18</v>
      </c>
      <c r="G597" s="60"/>
    </row>
    <row r="598" spans="1:7" s="52" customFormat="1" ht="18.75">
      <c r="A598" s="61"/>
      <c r="B598" s="499"/>
      <c r="C598" s="313"/>
      <c r="D598" s="466"/>
      <c r="E598" s="500" t="s">
        <v>53</v>
      </c>
      <c r="F598" s="500"/>
      <c r="G598" s="60">
        <f>TRUNC(SUM(G590:G597),2)</f>
        <v>2264.69</v>
      </c>
    </row>
    <row r="599" spans="1:9" s="59" customFormat="1" ht="45">
      <c r="A599" s="248" t="s">
        <v>694</v>
      </c>
      <c r="B599" s="509" t="s">
        <v>1057</v>
      </c>
      <c r="C599" s="312" t="s">
        <v>234</v>
      </c>
      <c r="D599" s="462" t="s">
        <v>21</v>
      </c>
      <c r="E599" s="510">
        <v>1</v>
      </c>
      <c r="F599" s="510">
        <f>F600</f>
        <v>2711.83</v>
      </c>
      <c r="G599" s="63">
        <f>TRUNC(E599*F599,2)</f>
        <v>2711.83</v>
      </c>
      <c r="I599" s="511"/>
    </row>
    <row r="600" spans="1:7" s="52" customFormat="1" ht="75">
      <c r="A600" s="61"/>
      <c r="B600" s="499" t="s">
        <v>922</v>
      </c>
      <c r="C600" s="313" t="s">
        <v>923</v>
      </c>
      <c r="D600" s="466" t="s">
        <v>21</v>
      </c>
      <c r="E600" s="500">
        <v>1</v>
      </c>
      <c r="F600" s="500">
        <f>G609</f>
        <v>2711.83</v>
      </c>
      <c r="G600" s="60">
        <f>TRUNC(E600*F600,2)</f>
        <v>2711.83</v>
      </c>
    </row>
    <row r="601" spans="1:7" s="52" customFormat="1" ht="18.75">
      <c r="A601" s="61"/>
      <c r="B601" s="499" t="s">
        <v>134</v>
      </c>
      <c r="C601" s="313" t="s">
        <v>135</v>
      </c>
      <c r="D601" s="466" t="s">
        <v>21</v>
      </c>
      <c r="E601" s="500">
        <v>1</v>
      </c>
      <c r="F601" s="500">
        <f>TRUNC(29.77,2)</f>
        <v>29.77</v>
      </c>
      <c r="G601" s="60">
        <f>TRUNC(E601*F601,2)</f>
        <v>29.77</v>
      </c>
    </row>
    <row r="602" spans="1:7" s="52" customFormat="1" ht="30">
      <c r="A602" s="61"/>
      <c r="B602" s="501" t="s">
        <v>141</v>
      </c>
      <c r="C602" s="314" t="s">
        <v>142</v>
      </c>
      <c r="D602" s="469" t="s">
        <v>21</v>
      </c>
      <c r="E602" s="502">
        <v>1</v>
      </c>
      <c r="F602" s="502">
        <f>TRUNC(1837.3621,2)</f>
        <v>1837.36</v>
      </c>
      <c r="G602" s="60"/>
    </row>
    <row r="603" spans="1:9" s="59" customFormat="1" ht="28.5">
      <c r="A603" s="503"/>
      <c r="B603" s="504" t="s">
        <v>121</v>
      </c>
      <c r="C603" s="505" t="s">
        <v>235</v>
      </c>
      <c r="D603" s="506" t="s">
        <v>21</v>
      </c>
      <c r="E603" s="507">
        <v>1</v>
      </c>
      <c r="F603" s="507">
        <v>2576</v>
      </c>
      <c r="G603" s="508">
        <f>E603*F603</f>
        <v>2576</v>
      </c>
      <c r="I603" s="52"/>
    </row>
    <row r="604" spans="1:7" s="52" customFormat="1" ht="18.75">
      <c r="A604" s="61"/>
      <c r="B604" s="499" t="s">
        <v>136</v>
      </c>
      <c r="C604" s="313" t="s">
        <v>137</v>
      </c>
      <c r="D604" s="466" t="s">
        <v>21</v>
      </c>
      <c r="E604" s="500">
        <v>1</v>
      </c>
      <c r="F604" s="500">
        <f>TRUNC(70.6,2)</f>
        <v>70.6</v>
      </c>
      <c r="G604" s="60">
        <f>TRUNC(E604*F604,2)</f>
        <v>70.6</v>
      </c>
    </row>
    <row r="605" spans="1:7" s="52" customFormat="1" ht="18.75">
      <c r="A605" s="61"/>
      <c r="B605" s="499" t="s">
        <v>50</v>
      </c>
      <c r="C605" s="313" t="s">
        <v>51</v>
      </c>
      <c r="D605" s="466" t="s">
        <v>52</v>
      </c>
      <c r="E605" s="500">
        <v>1.03</v>
      </c>
      <c r="F605" s="500">
        <f>TRUNC(14.47,2)</f>
        <v>14.47</v>
      </c>
      <c r="G605" s="60">
        <f>TRUNC(E605*F605,2)</f>
        <v>14.9</v>
      </c>
    </row>
    <row r="606" spans="1:7" s="52" customFormat="1" ht="18.75">
      <c r="A606" s="61"/>
      <c r="B606" s="499" t="s">
        <v>794</v>
      </c>
      <c r="C606" s="313" t="s">
        <v>795</v>
      </c>
      <c r="D606" s="466" t="s">
        <v>52</v>
      </c>
      <c r="E606" s="500">
        <v>1.03</v>
      </c>
      <c r="F606" s="500">
        <f>TRUNC(19.97,2)</f>
        <v>19.97</v>
      </c>
      <c r="G606" s="60">
        <f>TRUNC(E606*F606,2)</f>
        <v>20.56</v>
      </c>
    </row>
    <row r="607" spans="1:7" s="52" customFormat="1" ht="18.75">
      <c r="A607" s="61"/>
      <c r="B607" s="501" t="s">
        <v>143</v>
      </c>
      <c r="C607" s="314" t="s">
        <v>144</v>
      </c>
      <c r="D607" s="469" t="s">
        <v>19</v>
      </c>
      <c r="E607" s="502">
        <v>0.04</v>
      </c>
      <c r="F607" s="502">
        <f>TRUNC(1510.7861,2)</f>
        <v>1510.78</v>
      </c>
      <c r="G607" s="60"/>
    </row>
    <row r="608" spans="1:7" s="52" customFormat="1" ht="18.75">
      <c r="A608" s="61"/>
      <c r="B608" s="501" t="s">
        <v>145</v>
      </c>
      <c r="C608" s="314" t="s">
        <v>146</v>
      </c>
      <c r="D608" s="469" t="s">
        <v>15</v>
      </c>
      <c r="E608" s="502">
        <v>1.2</v>
      </c>
      <c r="F608" s="502">
        <f>TRUNC(48.1851,2)</f>
        <v>48.18</v>
      </c>
      <c r="G608" s="60"/>
    </row>
    <row r="609" spans="1:7" s="52" customFormat="1" ht="18.75">
      <c r="A609" s="61"/>
      <c r="B609" s="499"/>
      <c r="C609" s="313"/>
      <c r="D609" s="466"/>
      <c r="E609" s="500" t="s">
        <v>53</v>
      </c>
      <c r="F609" s="500"/>
      <c r="G609" s="60">
        <f>TRUNC(SUM(G601:G608),2)</f>
        <v>2711.83</v>
      </c>
    </row>
    <row r="610" spans="1:9" s="10" customFormat="1" ht="30">
      <c r="A610" s="512" t="s">
        <v>695</v>
      </c>
      <c r="B610" s="358" t="s">
        <v>1058</v>
      </c>
      <c r="C610" s="492" t="s">
        <v>448</v>
      </c>
      <c r="D610" s="360" t="s">
        <v>21</v>
      </c>
      <c r="E610" s="360">
        <v>1</v>
      </c>
      <c r="F610" s="360">
        <f>G617</f>
        <v>260.90999999999997</v>
      </c>
      <c r="G610" s="360">
        <f>TRUNC(E610*F610,2)</f>
        <v>260.91</v>
      </c>
      <c r="I610" s="14"/>
    </row>
    <row r="611" spans="1:9" s="10" customFormat="1" ht="30">
      <c r="A611" s="516"/>
      <c r="B611" s="369" t="s">
        <v>1053</v>
      </c>
      <c r="C611" s="485" t="s">
        <v>1054</v>
      </c>
      <c r="D611" s="295" t="s">
        <v>21</v>
      </c>
      <c r="E611" s="295"/>
      <c r="F611" s="295">
        <f>G617</f>
        <v>260.90999999999997</v>
      </c>
      <c r="G611" s="296"/>
      <c r="I611" s="14"/>
    </row>
    <row r="612" spans="1:9" s="10" customFormat="1" ht="30">
      <c r="A612" s="517"/>
      <c r="B612" s="442" t="s">
        <v>138</v>
      </c>
      <c r="C612" s="483" t="s">
        <v>139</v>
      </c>
      <c r="D612" s="484" t="s">
        <v>21</v>
      </c>
      <c r="E612" s="484">
        <v>1</v>
      </c>
      <c r="F612" s="484">
        <v>34.7</v>
      </c>
      <c r="G612" s="486"/>
      <c r="I612" s="14"/>
    </row>
    <row r="613" spans="1:9" s="52" customFormat="1" ht="28.5">
      <c r="A613" s="520"/>
      <c r="B613" s="504" t="s">
        <v>121</v>
      </c>
      <c r="C613" s="505" t="s">
        <v>447</v>
      </c>
      <c r="D613" s="506" t="s">
        <v>21</v>
      </c>
      <c r="E613" s="507">
        <v>1</v>
      </c>
      <c r="F613" s="507">
        <v>256.8</v>
      </c>
      <c r="G613" s="521">
        <f>E613*F613</f>
        <v>256.8</v>
      </c>
      <c r="I613" s="511"/>
    </row>
    <row r="614" spans="1:9" ht="18.75">
      <c r="A614" s="518"/>
      <c r="B614" s="399" t="s">
        <v>921</v>
      </c>
      <c r="C614" s="230" t="s">
        <v>58</v>
      </c>
      <c r="D614" s="59" t="s">
        <v>21</v>
      </c>
      <c r="E614" s="59">
        <v>0.0304</v>
      </c>
      <c r="F614" s="59">
        <v>2.9</v>
      </c>
      <c r="G614" s="299">
        <f>TRUNC(E614*F614,2)</f>
        <v>0.08</v>
      </c>
      <c r="I614" s="14"/>
    </row>
    <row r="615" spans="1:9" s="10" customFormat="1" ht="18.75">
      <c r="A615" s="518"/>
      <c r="B615" s="399" t="s">
        <v>54</v>
      </c>
      <c r="C615" s="230" t="s">
        <v>55</v>
      </c>
      <c r="D615" s="59" t="s">
        <v>52</v>
      </c>
      <c r="E615" s="59">
        <v>0.04</v>
      </c>
      <c r="F615" s="59">
        <f>TRUNC(21.24,2)</f>
        <v>21.24</v>
      </c>
      <c r="G615" s="299">
        <f>TRUNC(E615*F615,2)</f>
        <v>0.84</v>
      </c>
      <c r="I615" s="14"/>
    </row>
    <row r="616" spans="1:9" ht="18.75">
      <c r="A616" s="517"/>
      <c r="B616" s="399" t="s">
        <v>131</v>
      </c>
      <c r="C616" s="230" t="s">
        <v>59</v>
      </c>
      <c r="D616" s="59" t="s">
        <v>52</v>
      </c>
      <c r="E616" s="59">
        <v>0.12</v>
      </c>
      <c r="F616" s="59">
        <f>TRUNC(26.66,2)</f>
        <v>26.66</v>
      </c>
      <c r="G616" s="299">
        <f>TRUNC(E616*F616,2)</f>
        <v>3.19</v>
      </c>
      <c r="I616" s="14"/>
    </row>
    <row r="617" spans="1:9" ht="18.75">
      <c r="A617" s="518"/>
      <c r="B617" s="399"/>
      <c r="C617" s="230"/>
      <c r="D617" s="59"/>
      <c r="E617" s="59" t="s">
        <v>53</v>
      </c>
      <c r="F617" s="59"/>
      <c r="G617" s="299">
        <f>SUM(G612:G616)</f>
        <v>260.90999999999997</v>
      </c>
      <c r="I617" s="14"/>
    </row>
    <row r="618" spans="1:7" s="54" customFormat="1" ht="18.75">
      <c r="A618" s="329"/>
      <c r="B618" s="443"/>
      <c r="C618" s="519"/>
      <c r="D618" s="331"/>
      <c r="E618" s="331"/>
      <c r="F618" s="331"/>
      <c r="G618" s="332"/>
    </row>
    <row r="619" spans="1:7" s="54" customFormat="1" ht="45">
      <c r="A619" s="493" t="s">
        <v>696</v>
      </c>
      <c r="B619" s="513" t="s">
        <v>1063</v>
      </c>
      <c r="C619" s="514" t="s">
        <v>382</v>
      </c>
      <c r="D619" s="515" t="s">
        <v>21</v>
      </c>
      <c r="E619" s="498">
        <v>1</v>
      </c>
      <c r="F619" s="498">
        <f>F620</f>
        <v>44.01</v>
      </c>
      <c r="G619" s="498">
        <f>TRUNC(E619*F619,2)</f>
        <v>44.01</v>
      </c>
    </row>
    <row r="620" spans="1:9" s="10" customFormat="1" ht="30">
      <c r="A620" s="516"/>
      <c r="B620" s="369" t="s">
        <v>1053</v>
      </c>
      <c r="C620" s="485" t="s">
        <v>1054</v>
      </c>
      <c r="D620" s="295" t="s">
        <v>21</v>
      </c>
      <c r="E620" s="295"/>
      <c r="F620" s="295">
        <f>G626</f>
        <v>44.01</v>
      </c>
      <c r="G620" s="296"/>
      <c r="I620" s="14"/>
    </row>
    <row r="621" spans="1:9" s="10" customFormat="1" ht="30">
      <c r="A621" s="517"/>
      <c r="B621" s="442" t="s">
        <v>138</v>
      </c>
      <c r="C621" s="483" t="s">
        <v>139</v>
      </c>
      <c r="D621" s="484" t="s">
        <v>21</v>
      </c>
      <c r="E621" s="484">
        <v>1</v>
      </c>
      <c r="F621" s="484">
        <v>34.7</v>
      </c>
      <c r="G621" s="486"/>
      <c r="I621" s="14"/>
    </row>
    <row r="622" spans="1:7" s="54" customFormat="1" ht="18.75">
      <c r="A622" s="55"/>
      <c r="B622" s="399" t="s">
        <v>147</v>
      </c>
      <c r="C622" s="230" t="s">
        <v>148</v>
      </c>
      <c r="D622" s="59" t="s">
        <v>21</v>
      </c>
      <c r="E622" s="60">
        <v>1</v>
      </c>
      <c r="F622" s="60">
        <v>39.9</v>
      </c>
      <c r="G622" s="60">
        <f>TRUNC(E622*F622,2)</f>
        <v>39.9</v>
      </c>
    </row>
    <row r="623" spans="1:9" ht="18.75">
      <c r="A623" s="518"/>
      <c r="B623" s="399" t="s">
        <v>921</v>
      </c>
      <c r="C623" s="230" t="s">
        <v>58</v>
      </c>
      <c r="D623" s="59" t="s">
        <v>21</v>
      </c>
      <c r="E623" s="59">
        <v>0.0304</v>
      </c>
      <c r="F623" s="59">
        <v>2.9</v>
      </c>
      <c r="G623" s="299">
        <f>TRUNC(E623*F623,2)</f>
        <v>0.08</v>
      </c>
      <c r="I623" s="14"/>
    </row>
    <row r="624" spans="1:9" s="10" customFormat="1" ht="18.75">
      <c r="A624" s="518"/>
      <c r="B624" s="399" t="s">
        <v>54</v>
      </c>
      <c r="C624" s="230" t="s">
        <v>55</v>
      </c>
      <c r="D624" s="59" t="s">
        <v>52</v>
      </c>
      <c r="E624" s="59">
        <v>0.04</v>
      </c>
      <c r="F624" s="59">
        <f>TRUNC(21.24,2)</f>
        <v>21.24</v>
      </c>
      <c r="G624" s="299">
        <f>TRUNC(E624*F624,2)</f>
        <v>0.84</v>
      </c>
      <c r="I624" s="14"/>
    </row>
    <row r="625" spans="1:9" ht="18.75">
      <c r="A625" s="517"/>
      <c r="B625" s="399" t="s">
        <v>131</v>
      </c>
      <c r="C625" s="230" t="s">
        <v>59</v>
      </c>
      <c r="D625" s="59" t="s">
        <v>52</v>
      </c>
      <c r="E625" s="59">
        <v>0.12</v>
      </c>
      <c r="F625" s="59">
        <f>TRUNC(26.66,2)</f>
        <v>26.66</v>
      </c>
      <c r="G625" s="299">
        <f>TRUNC(E625*F625,2)</f>
        <v>3.19</v>
      </c>
      <c r="I625" s="14"/>
    </row>
    <row r="626" spans="1:9" ht="18.75">
      <c r="A626" s="518"/>
      <c r="B626" s="399"/>
      <c r="C626" s="230"/>
      <c r="D626" s="59"/>
      <c r="E626" s="59" t="s">
        <v>53</v>
      </c>
      <c r="F626" s="59"/>
      <c r="G626" s="299">
        <f>SUM(G621:G625)</f>
        <v>44.01</v>
      </c>
      <c r="I626" s="14"/>
    </row>
    <row r="627" spans="1:9" ht="45">
      <c r="A627" s="357" t="s">
        <v>697</v>
      </c>
      <c r="B627" s="358" t="s">
        <v>1065</v>
      </c>
      <c r="C627" s="492" t="s">
        <v>383</v>
      </c>
      <c r="D627" s="360" t="s">
        <v>21</v>
      </c>
      <c r="E627" s="360">
        <v>1</v>
      </c>
      <c r="F627" s="360">
        <f>G636</f>
        <v>41.76</v>
      </c>
      <c r="G627" s="360">
        <f>TRUNC(E627*F627,2)</f>
        <v>41.76</v>
      </c>
      <c r="I627" s="54"/>
    </row>
    <row r="628" spans="1:9" ht="30">
      <c r="A628" s="293"/>
      <c r="B628" s="369" t="s">
        <v>1067</v>
      </c>
      <c r="C628" s="485" t="s">
        <v>1068</v>
      </c>
      <c r="D628" s="295" t="s">
        <v>21</v>
      </c>
      <c r="E628" s="295"/>
      <c r="F628" s="295">
        <f>G636</f>
        <v>41.76</v>
      </c>
      <c r="G628" s="296"/>
      <c r="I628" s="54"/>
    </row>
    <row r="629" spans="1:9" ht="18.75">
      <c r="A629" s="518"/>
      <c r="B629" s="524" t="s">
        <v>263</v>
      </c>
      <c r="C629" s="525" t="s">
        <v>264</v>
      </c>
      <c r="D629" s="10" t="s">
        <v>21</v>
      </c>
      <c r="E629" s="10">
        <v>0.017</v>
      </c>
      <c r="F629" s="10">
        <f>TRUNC(1.53,2)</f>
        <v>1.53</v>
      </c>
      <c r="G629" s="529"/>
      <c r="I629" s="54"/>
    </row>
    <row r="630" spans="1:7" ht="15.75">
      <c r="A630" s="530"/>
      <c r="B630" s="524" t="s">
        <v>265</v>
      </c>
      <c r="C630" s="525" t="s">
        <v>266</v>
      </c>
      <c r="D630" s="10" t="s">
        <v>21</v>
      </c>
      <c r="E630" s="10">
        <v>0.0075</v>
      </c>
      <c r="F630" s="10">
        <f>TRUNC(35.92,2)</f>
        <v>35.92</v>
      </c>
      <c r="G630" s="529"/>
    </row>
    <row r="631" spans="1:7" ht="15.75">
      <c r="A631" s="530"/>
      <c r="B631" s="524" t="s">
        <v>267</v>
      </c>
      <c r="C631" s="525" t="s">
        <v>268</v>
      </c>
      <c r="D631" s="10" t="s">
        <v>21</v>
      </c>
      <c r="E631" s="10">
        <v>1</v>
      </c>
      <c r="F631" s="10">
        <f>TRUNC(7.08,2)</f>
        <v>7.08</v>
      </c>
      <c r="G631" s="529"/>
    </row>
    <row r="632" spans="1:7" ht="15.75">
      <c r="A632" s="530"/>
      <c r="B632" s="524" t="s">
        <v>269</v>
      </c>
      <c r="C632" s="525" t="s">
        <v>270</v>
      </c>
      <c r="D632" s="10" t="s">
        <v>21</v>
      </c>
      <c r="E632" s="10">
        <v>0.0049</v>
      </c>
      <c r="F632" s="10">
        <f>TRUNC(41.37,2)</f>
        <v>41.37</v>
      </c>
      <c r="G632" s="529"/>
    </row>
    <row r="633" spans="1:7" ht="24.75" customHeight="1">
      <c r="A633" s="530"/>
      <c r="B633" s="111" t="s">
        <v>131</v>
      </c>
      <c r="C633" s="221" t="s">
        <v>59</v>
      </c>
      <c r="D633" s="10" t="s">
        <v>52</v>
      </c>
      <c r="E633" s="10">
        <v>0.07</v>
      </c>
      <c r="F633" s="10">
        <f>TRUNC(26.66,2)</f>
        <v>26.66</v>
      </c>
      <c r="G633" s="529">
        <f>TRUNC(E633*F633,2)</f>
        <v>1.86</v>
      </c>
    </row>
    <row r="634" spans="1:7" ht="15.75">
      <c r="A634" s="530"/>
      <c r="B634" s="111" t="s">
        <v>271</v>
      </c>
      <c r="C634" s="221" t="s">
        <v>60</v>
      </c>
      <c r="D634" s="10" t="s">
        <v>52</v>
      </c>
      <c r="E634" s="10">
        <v>0.07</v>
      </c>
      <c r="F634" s="10">
        <f>TRUNC(20.87,2)</f>
        <v>20.87</v>
      </c>
      <c r="G634" s="529">
        <f>TRUNC(E634*F634,2)</f>
        <v>1.46</v>
      </c>
    </row>
    <row r="635" spans="1:7" s="52" customFormat="1" ht="15.75">
      <c r="A635" s="531"/>
      <c r="B635" s="526" t="s">
        <v>121</v>
      </c>
      <c r="C635" s="527" t="s">
        <v>309</v>
      </c>
      <c r="D635" s="528"/>
      <c r="E635" s="528">
        <v>1</v>
      </c>
      <c r="F635" s="528">
        <v>38.44</v>
      </c>
      <c r="G635" s="532">
        <f>TRUNC(E635*F635,2)</f>
        <v>38.44</v>
      </c>
    </row>
    <row r="636" spans="1:7" ht="15.75">
      <c r="A636" s="530"/>
      <c r="B636" s="111"/>
      <c r="C636" s="221"/>
      <c r="D636" s="10"/>
      <c r="E636" s="10" t="s">
        <v>53</v>
      </c>
      <c r="F636" s="10"/>
      <c r="G636" s="529">
        <f>TRUNC(SUM(G629:G635),2)</f>
        <v>41.76</v>
      </c>
    </row>
    <row r="637" spans="1:7" ht="15.75">
      <c r="A637" s="533"/>
      <c r="B637" s="443"/>
      <c r="C637" s="519"/>
      <c r="D637" s="331"/>
      <c r="E637" s="331"/>
      <c r="F637" s="331"/>
      <c r="G637" s="332"/>
    </row>
    <row r="638" spans="1:7" ht="15.75">
      <c r="A638" s="522" t="s">
        <v>698</v>
      </c>
      <c r="B638" s="523" t="s">
        <v>924</v>
      </c>
      <c r="C638" s="514" t="s">
        <v>580</v>
      </c>
      <c r="D638" s="515" t="s">
        <v>21</v>
      </c>
      <c r="E638" s="515">
        <v>1</v>
      </c>
      <c r="F638" s="515">
        <f>F639</f>
        <v>23</v>
      </c>
      <c r="G638" s="515">
        <f>TRUNC(E638*F638,2)</f>
        <v>23</v>
      </c>
    </row>
    <row r="639" spans="1:7" ht="30">
      <c r="A639" s="389"/>
      <c r="B639" s="399" t="s">
        <v>924</v>
      </c>
      <c r="C639" s="230" t="s">
        <v>440</v>
      </c>
      <c r="D639" s="59" t="s">
        <v>21</v>
      </c>
      <c r="E639" s="59">
        <v>1</v>
      </c>
      <c r="F639" s="59">
        <f>G642</f>
        <v>23</v>
      </c>
      <c r="G639" s="59">
        <f>TRUNC(E639*F639,2)</f>
        <v>23</v>
      </c>
    </row>
    <row r="640" spans="1:7" ht="15.75">
      <c r="A640" s="389"/>
      <c r="B640" s="399" t="s">
        <v>441</v>
      </c>
      <c r="C640" s="230" t="s">
        <v>442</v>
      </c>
      <c r="D640" s="59" t="s">
        <v>21</v>
      </c>
      <c r="E640" s="59">
        <v>1</v>
      </c>
      <c r="F640" s="59">
        <f>TRUNC(11.94,2)</f>
        <v>11.94</v>
      </c>
      <c r="G640" s="59">
        <f>TRUNC(E640*F640,2)</f>
        <v>11.94</v>
      </c>
    </row>
    <row r="641" spans="1:7" ht="15.75">
      <c r="A641" s="389"/>
      <c r="B641" s="399" t="s">
        <v>925</v>
      </c>
      <c r="C641" s="230" t="s">
        <v>926</v>
      </c>
      <c r="D641" s="59" t="s">
        <v>52</v>
      </c>
      <c r="E641" s="59">
        <v>0.515</v>
      </c>
      <c r="F641" s="59">
        <f>TRUNC(21.49,2)</f>
        <v>21.49</v>
      </c>
      <c r="G641" s="59">
        <f>TRUNC(E641*F641,2)</f>
        <v>11.06</v>
      </c>
    </row>
    <row r="642" spans="1:7" ht="15.75">
      <c r="A642" s="389"/>
      <c r="B642" s="399"/>
      <c r="C642" s="230"/>
      <c r="D642" s="59"/>
      <c r="E642" s="59" t="s">
        <v>53</v>
      </c>
      <c r="F642" s="59"/>
      <c r="G642" s="59">
        <f>TRUNC(SUM(G640:G641),2)</f>
        <v>23</v>
      </c>
    </row>
    <row r="643" spans="1:7" s="52" customFormat="1" ht="18.75">
      <c r="A643" s="243" t="s">
        <v>699</v>
      </c>
      <c r="B643" s="348"/>
      <c r="C643" s="240" t="s">
        <v>29</v>
      </c>
      <c r="D643" s="241"/>
      <c r="E643" s="241"/>
      <c r="F643" s="241"/>
      <c r="G643" s="241"/>
    </row>
    <row r="644" spans="1:7" ht="30">
      <c r="A644" s="28" t="s">
        <v>700</v>
      </c>
      <c r="B644" s="97" t="s">
        <v>861</v>
      </c>
      <c r="C644" s="277" t="s">
        <v>198</v>
      </c>
      <c r="D644" s="15" t="s">
        <v>15</v>
      </c>
      <c r="E644" s="15">
        <v>1</v>
      </c>
      <c r="F644" s="15">
        <f>F645</f>
        <v>414.12</v>
      </c>
      <c r="G644" s="15">
        <f aca="true" t="shared" si="29" ref="G644:G651">TRUNC(E644*F644,2)</f>
        <v>414.12</v>
      </c>
    </row>
    <row r="645" spans="1:7" ht="30">
      <c r="A645" s="17"/>
      <c r="B645" s="111" t="s">
        <v>861</v>
      </c>
      <c r="C645" s="57" t="s">
        <v>198</v>
      </c>
      <c r="D645" s="2" t="s">
        <v>15</v>
      </c>
      <c r="E645" s="2">
        <v>1</v>
      </c>
      <c r="F645" s="2">
        <f>G652</f>
        <v>414.12</v>
      </c>
      <c r="G645" s="2">
        <f t="shared" si="29"/>
        <v>414.12</v>
      </c>
    </row>
    <row r="646" spans="1:7" ht="30">
      <c r="A646" s="17"/>
      <c r="B646" s="111" t="s">
        <v>862</v>
      </c>
      <c r="C646" s="57" t="s">
        <v>199</v>
      </c>
      <c r="D646" s="2" t="s">
        <v>21</v>
      </c>
      <c r="E646" s="2">
        <v>0.5473</v>
      </c>
      <c r="F646" s="2">
        <f>TRUNC(586.69,2)</f>
        <v>586.69</v>
      </c>
      <c r="G646" s="2">
        <f t="shared" si="29"/>
        <v>321.09</v>
      </c>
    </row>
    <row r="647" spans="1:7" ht="30">
      <c r="A647" s="17"/>
      <c r="B647" s="111" t="s">
        <v>863</v>
      </c>
      <c r="C647" s="57" t="s">
        <v>200</v>
      </c>
      <c r="D647" s="2" t="s">
        <v>18</v>
      </c>
      <c r="E647" s="2">
        <v>6.8504</v>
      </c>
      <c r="F647" s="2">
        <f>TRUNC(6.95,2)</f>
        <v>6.95</v>
      </c>
      <c r="G647" s="2">
        <f t="shared" si="29"/>
        <v>47.61</v>
      </c>
    </row>
    <row r="648" spans="1:7" ht="30">
      <c r="A648" s="17"/>
      <c r="B648" s="111" t="s">
        <v>864</v>
      </c>
      <c r="C648" s="57" t="s">
        <v>201</v>
      </c>
      <c r="D648" s="2" t="s">
        <v>21</v>
      </c>
      <c r="E648" s="2">
        <v>4.8166</v>
      </c>
      <c r="F648" s="2">
        <f>TRUNC(0.3,2)</f>
        <v>0.3</v>
      </c>
      <c r="G648" s="2">
        <f t="shared" si="29"/>
        <v>1.44</v>
      </c>
    </row>
    <row r="649" spans="1:7" ht="18.75">
      <c r="A649" s="17"/>
      <c r="B649" s="111" t="s">
        <v>865</v>
      </c>
      <c r="C649" s="57" t="s">
        <v>78</v>
      </c>
      <c r="D649" s="2" t="s">
        <v>79</v>
      </c>
      <c r="E649" s="2">
        <v>0.8829</v>
      </c>
      <c r="F649" s="2">
        <f>TRUNC(33.55,2)</f>
        <v>33.55</v>
      </c>
      <c r="G649" s="2">
        <f t="shared" si="29"/>
        <v>29.62</v>
      </c>
    </row>
    <row r="650" spans="1:7" ht="18.75">
      <c r="A650" s="17"/>
      <c r="B650" s="111" t="s">
        <v>54</v>
      </c>
      <c r="C650" s="57" t="s">
        <v>55</v>
      </c>
      <c r="D650" s="2" t="s">
        <v>52</v>
      </c>
      <c r="E650" s="2">
        <v>0.191</v>
      </c>
      <c r="F650" s="2">
        <f>TRUNC(21.24,2)</f>
        <v>21.24</v>
      </c>
      <c r="G650" s="2">
        <f t="shared" si="29"/>
        <v>4.05</v>
      </c>
    </row>
    <row r="651" spans="1:7" ht="18.75">
      <c r="A651" s="17"/>
      <c r="B651" s="111" t="s">
        <v>118</v>
      </c>
      <c r="C651" s="57" t="s">
        <v>119</v>
      </c>
      <c r="D651" s="2" t="s">
        <v>52</v>
      </c>
      <c r="E651" s="2">
        <v>0.3826</v>
      </c>
      <c r="F651" s="2">
        <f>TRUNC(26.95,2)</f>
        <v>26.95</v>
      </c>
      <c r="G651" s="2">
        <f t="shared" si="29"/>
        <v>10.31</v>
      </c>
    </row>
    <row r="652" spans="1:7" ht="18.75">
      <c r="A652" s="17"/>
      <c r="B652" s="111"/>
      <c r="C652" s="57"/>
      <c r="E652" s="2" t="s">
        <v>53</v>
      </c>
      <c r="G652" s="2">
        <f>TRUNC(SUM(G646:G651),2)</f>
        <v>414.12</v>
      </c>
    </row>
    <row r="653" spans="1:7" ht="75">
      <c r="A653" s="254" t="s">
        <v>701</v>
      </c>
      <c r="B653" s="141" t="s">
        <v>927</v>
      </c>
      <c r="C653" s="312" t="s">
        <v>581</v>
      </c>
      <c r="D653" s="256" t="s">
        <v>21</v>
      </c>
      <c r="E653" s="256">
        <v>1</v>
      </c>
      <c r="F653" s="256">
        <f>F654</f>
        <v>225.14</v>
      </c>
      <c r="G653" s="256">
        <f>TRUNC(E653*F653,2)</f>
        <v>225.14</v>
      </c>
    </row>
    <row r="654" spans="1:7" ht="75">
      <c r="A654" s="61"/>
      <c r="B654" s="399" t="s">
        <v>927</v>
      </c>
      <c r="C654" s="313" t="s">
        <v>581</v>
      </c>
      <c r="D654" s="59" t="s">
        <v>21</v>
      </c>
      <c r="E654" s="59">
        <v>1</v>
      </c>
      <c r="F654" s="59">
        <f>G657</f>
        <v>225.14</v>
      </c>
      <c r="G654" s="59">
        <f>TRUNC(E654*F654,2)</f>
        <v>225.14</v>
      </c>
    </row>
    <row r="655" spans="1:7" ht="30">
      <c r="A655" s="61"/>
      <c r="B655" s="399" t="s">
        <v>204</v>
      </c>
      <c r="C655" s="313" t="s">
        <v>205</v>
      </c>
      <c r="D655" s="59" t="s">
        <v>21</v>
      </c>
      <c r="E655" s="59">
        <v>1</v>
      </c>
      <c r="F655" s="59">
        <f>TRUNC(202.82,2)</f>
        <v>202.82</v>
      </c>
      <c r="G655" s="59">
        <f>TRUNC(E655*F655,2)</f>
        <v>202.82</v>
      </c>
    </row>
    <row r="656" spans="1:7" ht="18.75">
      <c r="A656" s="61"/>
      <c r="B656" s="399" t="s">
        <v>202</v>
      </c>
      <c r="C656" s="313" t="s">
        <v>203</v>
      </c>
      <c r="D656" s="59" t="s">
        <v>21</v>
      </c>
      <c r="E656" s="59">
        <v>3</v>
      </c>
      <c r="F656" s="59">
        <f>TRUNC(7.44,2)</f>
        <v>7.44</v>
      </c>
      <c r="G656" s="59">
        <f>TRUNC(E656*F656,2)</f>
        <v>22.32</v>
      </c>
    </row>
    <row r="657" spans="1:7" ht="18.75">
      <c r="A657" s="61"/>
      <c r="B657" s="399"/>
      <c r="C657" s="313"/>
      <c r="D657" s="59"/>
      <c r="E657" s="59" t="s">
        <v>53</v>
      </c>
      <c r="F657" s="59"/>
      <c r="G657" s="59">
        <f>TRUNC(SUM(G655:G656),2)</f>
        <v>225.14</v>
      </c>
    </row>
    <row r="658" spans="1:8" ht="45">
      <c r="A658" s="254" t="s">
        <v>702</v>
      </c>
      <c r="B658" s="141" t="s">
        <v>928</v>
      </c>
      <c r="C658" s="312" t="s">
        <v>277</v>
      </c>
      <c r="D658" s="256" t="s">
        <v>15</v>
      </c>
      <c r="E658" s="256">
        <v>1</v>
      </c>
      <c r="F658" s="256">
        <f>F659</f>
        <v>294.13</v>
      </c>
      <c r="G658" s="256">
        <f>TRUNC(E658*F658,2)</f>
        <v>294.13</v>
      </c>
      <c r="H658" s="54"/>
    </row>
    <row r="659" spans="1:8" ht="45">
      <c r="A659" s="61"/>
      <c r="B659" s="399" t="s">
        <v>928</v>
      </c>
      <c r="C659" s="313" t="s">
        <v>277</v>
      </c>
      <c r="D659" s="59" t="s">
        <v>15</v>
      </c>
      <c r="E659" s="59">
        <v>1</v>
      </c>
      <c r="F659" s="59">
        <f>G663</f>
        <v>294.13</v>
      </c>
      <c r="G659" s="59">
        <f>TRUNC(E659*F659,2)</f>
        <v>294.13</v>
      </c>
      <c r="H659" s="54"/>
    </row>
    <row r="660" spans="1:8" ht="18.75">
      <c r="A660" s="61"/>
      <c r="B660" s="399" t="s">
        <v>278</v>
      </c>
      <c r="C660" s="313" t="s">
        <v>279</v>
      </c>
      <c r="D660" s="59" t="s">
        <v>24</v>
      </c>
      <c r="E660" s="59">
        <v>9.84</v>
      </c>
      <c r="F660" s="59">
        <f>TRUNC(18.6,2)</f>
        <v>18.6</v>
      </c>
      <c r="G660" s="59">
        <f>TRUNC(E660*F660,2)</f>
        <v>183.02</v>
      </c>
      <c r="H660" s="54"/>
    </row>
    <row r="661" spans="1:8" ht="18.75">
      <c r="A661" s="61"/>
      <c r="B661" s="399" t="s">
        <v>929</v>
      </c>
      <c r="C661" s="313" t="s">
        <v>930</v>
      </c>
      <c r="D661" s="59" t="s">
        <v>52</v>
      </c>
      <c r="E661" s="59">
        <v>3.09</v>
      </c>
      <c r="F661" s="59">
        <f>TRUNC(21.49,2)</f>
        <v>21.49</v>
      </c>
      <c r="G661" s="59">
        <f>TRUNC(E661*F661,2)</f>
        <v>66.4</v>
      </c>
      <c r="H661" s="54"/>
    </row>
    <row r="662" spans="1:8" ht="18.75">
      <c r="A662" s="61"/>
      <c r="B662" s="399" t="s">
        <v>50</v>
      </c>
      <c r="C662" s="313" t="s">
        <v>51</v>
      </c>
      <c r="D662" s="59" t="s">
        <v>52</v>
      </c>
      <c r="E662" s="59">
        <v>3.09</v>
      </c>
      <c r="F662" s="59">
        <f>TRUNC(14.47,2)</f>
        <v>14.47</v>
      </c>
      <c r="G662" s="59">
        <f>TRUNC(E662*F662,2)</f>
        <v>44.71</v>
      </c>
      <c r="H662" s="54"/>
    </row>
    <row r="663" spans="1:8" ht="18.75">
      <c r="A663" s="61"/>
      <c r="B663" s="399"/>
      <c r="C663" s="313"/>
      <c r="D663" s="59"/>
      <c r="E663" s="59" t="s">
        <v>53</v>
      </c>
      <c r="F663" s="59"/>
      <c r="G663" s="59">
        <f>TRUNC(SUM(G660:G662),2)</f>
        <v>294.13</v>
      </c>
      <c r="H663" s="54"/>
    </row>
    <row r="664" spans="1:7" ht="45">
      <c r="A664" s="357" t="s">
        <v>703</v>
      </c>
      <c r="B664" s="358" t="s">
        <v>1070</v>
      </c>
      <c r="C664" s="403" t="s">
        <v>439</v>
      </c>
      <c r="D664" s="360" t="s">
        <v>15</v>
      </c>
      <c r="E664" s="360">
        <v>1</v>
      </c>
      <c r="F664" s="360">
        <f>F665</f>
        <v>37.92</v>
      </c>
      <c r="G664" s="360">
        <f>TRUNC(E664*F664,2)</f>
        <v>37.92</v>
      </c>
    </row>
    <row r="665" spans="1:7" ht="30">
      <c r="A665" s="293"/>
      <c r="B665" s="369" t="s">
        <v>1069</v>
      </c>
      <c r="C665" s="538" t="s">
        <v>1071</v>
      </c>
      <c r="D665" s="295" t="s">
        <v>15</v>
      </c>
      <c r="E665" s="295">
        <v>1</v>
      </c>
      <c r="F665" s="295">
        <f>G673</f>
        <v>37.92</v>
      </c>
      <c r="G665" s="296">
        <f>TRUNC(E665*F665,2)</f>
        <v>37.92</v>
      </c>
    </row>
    <row r="666" spans="1:7" ht="18.75">
      <c r="A666" s="297"/>
      <c r="B666" s="252" t="s">
        <v>931</v>
      </c>
      <c r="C666" s="313" t="s">
        <v>436</v>
      </c>
      <c r="D666" s="59" t="s">
        <v>21</v>
      </c>
      <c r="E666" s="59">
        <v>0.6233</v>
      </c>
      <c r="F666" s="59">
        <f>TRUNC(12.01,2)</f>
        <v>12.01</v>
      </c>
      <c r="G666" s="299">
        <f>TRUNC(E666*F666,2)</f>
        <v>7.48</v>
      </c>
    </row>
    <row r="667" spans="1:7" ht="45">
      <c r="A667" s="297"/>
      <c r="B667" s="442" t="s">
        <v>933</v>
      </c>
      <c r="C667" s="314" t="s">
        <v>437</v>
      </c>
      <c r="D667" s="292" t="s">
        <v>21</v>
      </c>
      <c r="E667" s="292">
        <v>0.694</v>
      </c>
      <c r="F667" s="292">
        <v>312.5</v>
      </c>
      <c r="G667" s="298"/>
    </row>
    <row r="668" spans="1:7" ht="30">
      <c r="A668" s="297"/>
      <c r="B668" s="252" t="s">
        <v>932</v>
      </c>
      <c r="C668" s="313" t="s">
        <v>438</v>
      </c>
      <c r="D668" s="59" t="s">
        <v>21</v>
      </c>
      <c r="E668" s="59">
        <v>9.2</v>
      </c>
      <c r="F668" s="59">
        <f>TRUNC(0.13,2)</f>
        <v>0.13</v>
      </c>
      <c r="G668" s="299">
        <f>TRUNC(E668*F668,2)</f>
        <v>1.19</v>
      </c>
    </row>
    <row r="669" spans="1:7" ht="18.75">
      <c r="A669" s="297"/>
      <c r="B669" s="442" t="s">
        <v>54</v>
      </c>
      <c r="C669" s="314" t="s">
        <v>55</v>
      </c>
      <c r="D669" s="292" t="s">
        <v>52</v>
      </c>
      <c r="E669" s="292">
        <v>0.259</v>
      </c>
      <c r="F669" s="292">
        <f>TRUNC(21.24,2)</f>
        <v>21.24</v>
      </c>
      <c r="G669" s="298"/>
    </row>
    <row r="670" spans="1:7" ht="18.75">
      <c r="A670" s="297"/>
      <c r="B670" s="442" t="s">
        <v>118</v>
      </c>
      <c r="C670" s="314" t="s">
        <v>119</v>
      </c>
      <c r="D670" s="292" t="s">
        <v>52</v>
      </c>
      <c r="E670" s="292">
        <v>0.519</v>
      </c>
      <c r="F670" s="292">
        <f>TRUNC(26.95,2)</f>
        <v>26.95</v>
      </c>
      <c r="G670" s="298"/>
    </row>
    <row r="671" spans="1:7" ht="18.75">
      <c r="A671" s="297"/>
      <c r="B671" s="399" t="s">
        <v>54</v>
      </c>
      <c r="C671" s="313" t="s">
        <v>55</v>
      </c>
      <c r="D671" s="59" t="s">
        <v>52</v>
      </c>
      <c r="E671" s="59">
        <v>0.389</v>
      </c>
      <c r="F671" s="59">
        <f>TRUNC(21.24,2)</f>
        <v>21.24</v>
      </c>
      <c r="G671" s="299">
        <f>TRUNC(E671*F671,2)</f>
        <v>8.26</v>
      </c>
    </row>
    <row r="672" spans="1:7" ht="18.75">
      <c r="A672" s="297"/>
      <c r="B672" s="399" t="s">
        <v>118</v>
      </c>
      <c r="C672" s="313" t="s">
        <v>119</v>
      </c>
      <c r="D672" s="59" t="s">
        <v>52</v>
      </c>
      <c r="E672" s="59">
        <v>0.779</v>
      </c>
      <c r="F672" s="59">
        <f>TRUNC(26.95,2)</f>
        <v>26.95</v>
      </c>
      <c r="G672" s="299">
        <f>TRUNC(E672*F672,2)</f>
        <v>20.99</v>
      </c>
    </row>
    <row r="673" spans="1:7" ht="18.75">
      <c r="A673" s="361"/>
      <c r="B673" s="370"/>
      <c r="C673" s="539"/>
      <c r="D673" s="363"/>
      <c r="E673" s="363" t="s">
        <v>53</v>
      </c>
      <c r="F673" s="363"/>
      <c r="G673" s="364">
        <f>TRUNC(SUM(G666:G672),2)</f>
        <v>37.92</v>
      </c>
    </row>
    <row r="674" spans="1:7" ht="45">
      <c r="A674" s="534" t="s">
        <v>704</v>
      </c>
      <c r="B674" s="535" t="s">
        <v>934</v>
      </c>
      <c r="C674" s="536" t="s">
        <v>387</v>
      </c>
      <c r="D674" s="537" t="s">
        <v>15</v>
      </c>
      <c r="E674" s="537">
        <v>1</v>
      </c>
      <c r="F674" s="537">
        <f>F675</f>
        <v>153.68</v>
      </c>
      <c r="G674" s="537">
        <f aca="true" t="shared" si="30" ref="G674:G681">TRUNC(E674*F674,2)</f>
        <v>153.68</v>
      </c>
    </row>
    <row r="675" spans="1:7" ht="45">
      <c r="A675" s="25"/>
      <c r="B675" s="111" t="s">
        <v>934</v>
      </c>
      <c r="C675" s="57" t="s">
        <v>387</v>
      </c>
      <c r="D675" s="10" t="s">
        <v>15</v>
      </c>
      <c r="E675" s="10">
        <v>1</v>
      </c>
      <c r="F675" s="10">
        <f>G682</f>
        <v>153.68</v>
      </c>
      <c r="G675" s="10">
        <f t="shared" si="30"/>
        <v>153.68</v>
      </c>
    </row>
    <row r="676" spans="1:7" ht="30">
      <c r="A676" s="25"/>
      <c r="B676" s="111" t="s">
        <v>935</v>
      </c>
      <c r="C676" s="57" t="s">
        <v>388</v>
      </c>
      <c r="D676" s="10" t="s">
        <v>18</v>
      </c>
      <c r="E676" s="10">
        <v>1.68</v>
      </c>
      <c r="F676" s="10">
        <f>TRUNC(59.31,2)</f>
        <v>59.31</v>
      </c>
      <c r="G676" s="10">
        <f t="shared" si="30"/>
        <v>99.64</v>
      </c>
    </row>
    <row r="677" spans="1:7" ht="30">
      <c r="A677" s="25"/>
      <c r="B677" s="111" t="s">
        <v>936</v>
      </c>
      <c r="C677" s="57" t="s">
        <v>389</v>
      </c>
      <c r="D677" s="10" t="s">
        <v>15</v>
      </c>
      <c r="E677" s="10">
        <v>1.05</v>
      </c>
      <c r="F677" s="10">
        <f>TRUNC(15.93,2)</f>
        <v>15.93</v>
      </c>
      <c r="G677" s="10">
        <f t="shared" si="30"/>
        <v>16.72</v>
      </c>
    </row>
    <row r="678" spans="1:7" ht="18.75">
      <c r="A678" s="25"/>
      <c r="B678" s="111" t="s">
        <v>937</v>
      </c>
      <c r="C678" s="57" t="s">
        <v>390</v>
      </c>
      <c r="D678" s="10" t="s">
        <v>24</v>
      </c>
      <c r="E678" s="10">
        <v>0.15</v>
      </c>
      <c r="F678" s="10">
        <f>TRUNC(11.62,2)</f>
        <v>11.62</v>
      </c>
      <c r="G678" s="10">
        <f t="shared" si="30"/>
        <v>1.74</v>
      </c>
    </row>
    <row r="679" spans="1:7" ht="18.75">
      <c r="A679" s="25"/>
      <c r="B679" s="111" t="s">
        <v>938</v>
      </c>
      <c r="C679" s="57" t="s">
        <v>391</v>
      </c>
      <c r="D679" s="10" t="s">
        <v>24</v>
      </c>
      <c r="E679" s="10">
        <v>0.07</v>
      </c>
      <c r="F679" s="10">
        <f>TRUNC(13.44,2)</f>
        <v>13.44</v>
      </c>
      <c r="G679" s="10">
        <f t="shared" si="30"/>
        <v>0.94</v>
      </c>
    </row>
    <row r="680" spans="1:7" ht="18.75">
      <c r="A680" s="25"/>
      <c r="B680" s="111" t="s">
        <v>54</v>
      </c>
      <c r="C680" s="57" t="s">
        <v>55</v>
      </c>
      <c r="D680" s="10" t="s">
        <v>52</v>
      </c>
      <c r="E680" s="10">
        <v>1</v>
      </c>
      <c r="F680" s="10">
        <f>TRUNC(21.24,2)</f>
        <v>21.24</v>
      </c>
      <c r="G680" s="10">
        <f t="shared" si="30"/>
        <v>21.24</v>
      </c>
    </row>
    <row r="681" spans="1:7" ht="18.75">
      <c r="A681" s="25"/>
      <c r="B681" s="111" t="s">
        <v>939</v>
      </c>
      <c r="C681" s="57" t="s">
        <v>392</v>
      </c>
      <c r="D681" s="10" t="s">
        <v>52</v>
      </c>
      <c r="E681" s="10">
        <v>0.5</v>
      </c>
      <c r="F681" s="10">
        <f>TRUNC(26.8,2)</f>
        <v>26.8</v>
      </c>
      <c r="G681" s="10">
        <f t="shared" si="30"/>
        <v>13.4</v>
      </c>
    </row>
    <row r="682" spans="1:7" ht="18.75">
      <c r="A682" s="25"/>
      <c r="B682" s="111"/>
      <c r="C682" s="57"/>
      <c r="D682" s="10"/>
      <c r="E682" s="10" t="s">
        <v>53</v>
      </c>
      <c r="F682" s="10"/>
      <c r="G682" s="10">
        <f>TRUNC(SUM(G676:G681),2)</f>
        <v>153.68</v>
      </c>
    </row>
    <row r="683" spans="1:7" s="52" customFormat="1" ht="18.75">
      <c r="A683" s="254" t="s">
        <v>705</v>
      </c>
      <c r="B683" s="141" t="s">
        <v>1073</v>
      </c>
      <c r="C683" s="322" t="s">
        <v>450</v>
      </c>
      <c r="D683" s="256" t="s">
        <v>15</v>
      </c>
      <c r="E683" s="256">
        <v>1</v>
      </c>
      <c r="F683" s="256">
        <f>G689</f>
        <v>417.15</v>
      </c>
      <c r="G683" s="256">
        <f aca="true" t="shared" si="31" ref="G683:G688">TRUNC(E683*F683,2)</f>
        <v>417.15</v>
      </c>
    </row>
    <row r="684" spans="1:7" s="52" customFormat="1" ht="30">
      <c r="A684" s="53"/>
      <c r="B684" s="399" t="s">
        <v>1072</v>
      </c>
      <c r="C684" s="540" t="s">
        <v>451</v>
      </c>
      <c r="D684" s="52" t="s">
        <v>18</v>
      </c>
      <c r="E684" s="52">
        <v>4.1656</v>
      </c>
      <c r="F684" s="52">
        <v>41.13</v>
      </c>
      <c r="G684" s="52">
        <f t="shared" si="31"/>
        <v>171.33</v>
      </c>
    </row>
    <row r="685" spans="1:7" s="52" customFormat="1" ht="18.75">
      <c r="A685" s="53"/>
      <c r="B685" s="399" t="s">
        <v>221</v>
      </c>
      <c r="C685" s="540" t="s">
        <v>55</v>
      </c>
      <c r="D685" s="52" t="s">
        <v>52</v>
      </c>
      <c r="E685" s="52">
        <v>0.1473</v>
      </c>
      <c r="F685" s="52">
        <f>TRUNC(19.31,2)</f>
        <v>19.31</v>
      </c>
      <c r="G685" s="52">
        <f t="shared" si="31"/>
        <v>2.84</v>
      </c>
    </row>
    <row r="686" spans="1:7" s="52" customFormat="1" ht="18.75">
      <c r="A686" s="53"/>
      <c r="B686" s="399" t="s">
        <v>582</v>
      </c>
      <c r="C686" s="540" t="s">
        <v>392</v>
      </c>
      <c r="D686" s="52" t="s">
        <v>52</v>
      </c>
      <c r="E686" s="52">
        <v>9.8916</v>
      </c>
      <c r="F686" s="52">
        <f>TRUNC(24.12,2)</f>
        <v>24.12</v>
      </c>
      <c r="G686" s="52">
        <f t="shared" si="31"/>
        <v>238.58</v>
      </c>
    </row>
    <row r="687" spans="1:7" s="52" customFormat="1" ht="18.75">
      <c r="A687" s="53"/>
      <c r="B687" s="399" t="s">
        <v>222</v>
      </c>
      <c r="C687" s="540" t="s">
        <v>119</v>
      </c>
      <c r="D687" s="52" t="s">
        <v>52</v>
      </c>
      <c r="E687" s="52">
        <v>0.1778</v>
      </c>
      <c r="F687" s="52">
        <f>TRUNC(24.26,2)</f>
        <v>24.26</v>
      </c>
      <c r="G687" s="52">
        <f t="shared" si="31"/>
        <v>4.31</v>
      </c>
    </row>
    <row r="688" spans="1:7" s="52" customFormat="1" ht="18.75">
      <c r="A688" s="53"/>
      <c r="B688" s="399" t="s">
        <v>583</v>
      </c>
      <c r="C688" s="540" t="s">
        <v>775</v>
      </c>
      <c r="D688" s="52" t="s">
        <v>19</v>
      </c>
      <c r="E688" s="52">
        <v>0.00025</v>
      </c>
      <c r="F688" s="52">
        <f>TRUNC(374.6982,2)</f>
        <v>374.69</v>
      </c>
      <c r="G688" s="52">
        <f t="shared" si="31"/>
        <v>0.09</v>
      </c>
    </row>
    <row r="689" spans="1:7" s="52" customFormat="1" ht="18.75">
      <c r="A689" s="53"/>
      <c r="B689" s="399"/>
      <c r="C689" s="540"/>
      <c r="E689" s="52" t="s">
        <v>53</v>
      </c>
      <c r="G689" s="541">
        <f>TRUNC(SUM(G684:G688),2)</f>
        <v>417.15</v>
      </c>
    </row>
    <row r="690" spans="1:7" ht="18.75">
      <c r="A690" s="243" t="s">
        <v>706</v>
      </c>
      <c r="B690" s="348"/>
      <c r="C690" s="262" t="s">
        <v>30</v>
      </c>
      <c r="D690" s="241"/>
      <c r="E690" s="241"/>
      <c r="F690" s="241"/>
      <c r="G690" s="241"/>
    </row>
    <row r="691" spans="1:7" ht="18.75">
      <c r="A691" s="28" t="s">
        <v>707</v>
      </c>
      <c r="B691" s="456" t="s">
        <v>940</v>
      </c>
      <c r="C691" s="316" t="s">
        <v>31</v>
      </c>
      <c r="D691" s="317" t="s">
        <v>15</v>
      </c>
      <c r="E691" s="317">
        <v>1</v>
      </c>
      <c r="F691" s="317">
        <f>F692</f>
        <v>95.44</v>
      </c>
      <c r="G691" s="317">
        <f aca="true" t="shared" si="32" ref="G691:G696">TRUNC(E691*F691,2)</f>
        <v>95.44</v>
      </c>
    </row>
    <row r="692" spans="1:7" ht="18.75">
      <c r="A692" s="25"/>
      <c r="B692" s="457" t="s">
        <v>940</v>
      </c>
      <c r="C692" s="390" t="s">
        <v>31</v>
      </c>
      <c r="D692" s="391" t="s">
        <v>15</v>
      </c>
      <c r="E692" s="391">
        <v>1</v>
      </c>
      <c r="F692" s="391">
        <f>G697</f>
        <v>95.44</v>
      </c>
      <c r="G692" s="391">
        <f t="shared" si="32"/>
        <v>95.44</v>
      </c>
    </row>
    <row r="693" spans="1:7" ht="18.75">
      <c r="A693" s="25"/>
      <c r="B693" s="457" t="s">
        <v>941</v>
      </c>
      <c r="C693" s="390" t="s">
        <v>159</v>
      </c>
      <c r="D693" s="391" t="s">
        <v>15</v>
      </c>
      <c r="E693" s="391">
        <v>1</v>
      </c>
      <c r="F693" s="391">
        <f>TRUNC(66.66,2)</f>
        <v>66.66</v>
      </c>
      <c r="G693" s="391">
        <f t="shared" si="32"/>
        <v>66.66</v>
      </c>
    </row>
    <row r="694" spans="1:7" ht="18.75">
      <c r="A694" s="25"/>
      <c r="B694" s="457" t="s">
        <v>942</v>
      </c>
      <c r="C694" s="390" t="s">
        <v>155</v>
      </c>
      <c r="D694" s="391" t="s">
        <v>24</v>
      </c>
      <c r="E694" s="391">
        <v>1.5</v>
      </c>
      <c r="F694" s="391">
        <f>TRUNC(5.08,2)</f>
        <v>5.08</v>
      </c>
      <c r="G694" s="391">
        <f t="shared" si="32"/>
        <v>7.62</v>
      </c>
    </row>
    <row r="695" spans="1:7" ht="18.75">
      <c r="A695" s="25"/>
      <c r="B695" s="457" t="s">
        <v>943</v>
      </c>
      <c r="C695" s="390" t="s">
        <v>156</v>
      </c>
      <c r="D695" s="391" t="s">
        <v>52</v>
      </c>
      <c r="E695" s="391">
        <v>0.45</v>
      </c>
      <c r="F695" s="391">
        <f>TRUNC(25.82,2)</f>
        <v>25.82</v>
      </c>
      <c r="G695" s="391">
        <f t="shared" si="32"/>
        <v>11.61</v>
      </c>
    </row>
    <row r="696" spans="1:7" ht="18.75">
      <c r="A696" s="25"/>
      <c r="B696" s="457" t="s">
        <v>54</v>
      </c>
      <c r="C696" s="390" t="s">
        <v>55</v>
      </c>
      <c r="D696" s="391" t="s">
        <v>52</v>
      </c>
      <c r="E696" s="391">
        <v>0.45</v>
      </c>
      <c r="F696" s="391">
        <f>TRUNC(21.24,2)</f>
        <v>21.24</v>
      </c>
      <c r="G696" s="391">
        <f t="shared" si="32"/>
        <v>9.55</v>
      </c>
    </row>
    <row r="697" spans="1:7" ht="18.75">
      <c r="A697" s="25"/>
      <c r="B697" s="457"/>
      <c r="C697" s="390"/>
      <c r="D697" s="391"/>
      <c r="E697" s="391" t="s">
        <v>53</v>
      </c>
      <c r="F697" s="391"/>
      <c r="G697" s="391">
        <f>TRUNC(SUM(G693:G696),2)</f>
        <v>95.44</v>
      </c>
    </row>
    <row r="698" spans="1:7" ht="18.75">
      <c r="A698" s="243" t="s">
        <v>708</v>
      </c>
      <c r="B698" s="348"/>
      <c r="C698" s="262" t="s">
        <v>32</v>
      </c>
      <c r="D698" s="241"/>
      <c r="E698" s="241"/>
      <c r="F698" s="241"/>
      <c r="G698" s="241"/>
    </row>
    <row r="699" spans="1:7" ht="30">
      <c r="A699" s="254" t="s">
        <v>709</v>
      </c>
      <c r="B699" s="141" t="s">
        <v>853</v>
      </c>
      <c r="C699" s="269" t="s">
        <v>206</v>
      </c>
      <c r="D699" s="256" t="s">
        <v>15</v>
      </c>
      <c r="E699" s="256">
        <v>1</v>
      </c>
      <c r="F699" s="256">
        <f>F700</f>
        <v>3.43</v>
      </c>
      <c r="G699" s="256">
        <f>TRUNC(E699*F699,2)</f>
        <v>3.43</v>
      </c>
    </row>
    <row r="700" spans="1:7" ht="30">
      <c r="A700" s="61"/>
      <c r="B700" s="399" t="s">
        <v>853</v>
      </c>
      <c r="C700" s="267" t="s">
        <v>206</v>
      </c>
      <c r="D700" s="59" t="s">
        <v>15</v>
      </c>
      <c r="E700" s="59">
        <v>1</v>
      </c>
      <c r="F700" s="59">
        <f>G704</f>
        <v>3.43</v>
      </c>
      <c r="G700" s="59">
        <f>TRUNC(E700*F700,2)</f>
        <v>3.43</v>
      </c>
    </row>
    <row r="701" spans="1:7" ht="18.75">
      <c r="A701" s="61"/>
      <c r="B701" s="399" t="s">
        <v>54</v>
      </c>
      <c r="C701" s="267" t="s">
        <v>55</v>
      </c>
      <c r="D701" s="59" t="s">
        <v>52</v>
      </c>
      <c r="E701" s="59">
        <v>0.007</v>
      </c>
      <c r="F701" s="59">
        <f>TRUNC(21.24,2)</f>
        <v>21.24</v>
      </c>
      <c r="G701" s="59">
        <f>TRUNC(E701*F701,2)</f>
        <v>0.14</v>
      </c>
    </row>
    <row r="702" spans="1:7" ht="18.75">
      <c r="A702" s="61"/>
      <c r="B702" s="399" t="s">
        <v>118</v>
      </c>
      <c r="C702" s="267" t="s">
        <v>119</v>
      </c>
      <c r="D702" s="59" t="s">
        <v>52</v>
      </c>
      <c r="E702" s="59">
        <v>0.07</v>
      </c>
      <c r="F702" s="59">
        <f>TRUNC(26.95,2)</f>
        <v>26.95</v>
      </c>
      <c r="G702" s="59">
        <f>TRUNC(E702*F702,2)</f>
        <v>1.88</v>
      </c>
    </row>
    <row r="703" spans="1:7" ht="30">
      <c r="A703" s="61"/>
      <c r="B703" s="399" t="s">
        <v>854</v>
      </c>
      <c r="C703" s="267" t="s">
        <v>855</v>
      </c>
      <c r="D703" s="59" t="s">
        <v>19</v>
      </c>
      <c r="E703" s="59">
        <v>0.0042</v>
      </c>
      <c r="F703" s="59">
        <f>TRUNC(338.03,2)</f>
        <v>338.03</v>
      </c>
      <c r="G703" s="59">
        <f>TRUNC(E703*F703,2)</f>
        <v>1.41</v>
      </c>
    </row>
    <row r="704" spans="1:7" ht="18.75">
      <c r="A704" s="61"/>
      <c r="B704" s="399"/>
      <c r="C704" s="267"/>
      <c r="D704" s="59"/>
      <c r="E704" s="59" t="s">
        <v>53</v>
      </c>
      <c r="F704" s="59"/>
      <c r="G704" s="59">
        <f>TRUNC(SUM(G701:G703),2)</f>
        <v>3.43</v>
      </c>
    </row>
    <row r="705" spans="1:7" ht="45">
      <c r="A705" s="254" t="s">
        <v>710</v>
      </c>
      <c r="B705" s="139" t="s">
        <v>1074</v>
      </c>
      <c r="C705" s="269" t="s">
        <v>755</v>
      </c>
      <c r="D705" s="256" t="s">
        <v>15</v>
      </c>
      <c r="E705" s="256">
        <v>1</v>
      </c>
      <c r="F705" s="256">
        <f>F706</f>
        <v>31.24</v>
      </c>
      <c r="G705" s="256">
        <f>TRUNC(E705*F705,2)</f>
        <v>31.24</v>
      </c>
    </row>
    <row r="706" spans="1:7" ht="45">
      <c r="A706" s="61"/>
      <c r="B706" s="252" t="s">
        <v>856</v>
      </c>
      <c r="C706" s="267" t="s">
        <v>857</v>
      </c>
      <c r="D706" s="59" t="s">
        <v>15</v>
      </c>
      <c r="E706" s="59">
        <v>1</v>
      </c>
      <c r="F706" s="59">
        <f>G710</f>
        <v>31.24</v>
      </c>
      <c r="G706" s="59">
        <f>TRUNC(E706*F706,2)</f>
        <v>31.24</v>
      </c>
    </row>
    <row r="707" spans="1:7" ht="18.75">
      <c r="A707" s="61"/>
      <c r="B707" s="252" t="s">
        <v>54</v>
      </c>
      <c r="C707" s="267" t="s">
        <v>55</v>
      </c>
      <c r="D707" s="59" t="s">
        <v>52</v>
      </c>
      <c r="E707" s="59">
        <v>0.171</v>
      </c>
      <c r="F707" s="59">
        <f>TRUNC(21.24,2)</f>
        <v>21.24</v>
      </c>
      <c r="G707" s="59">
        <f>TRUNC(E707*F707,2)</f>
        <v>3.63</v>
      </c>
    </row>
    <row r="708" spans="1:7" ht="18.75">
      <c r="A708" s="61"/>
      <c r="B708" s="252" t="s">
        <v>118</v>
      </c>
      <c r="C708" s="267" t="s">
        <v>119</v>
      </c>
      <c r="D708" s="59" t="s">
        <v>52</v>
      </c>
      <c r="E708" s="59">
        <v>0.47</v>
      </c>
      <c r="F708" s="59">
        <f>TRUNC(26.95,2)</f>
        <v>26.95</v>
      </c>
      <c r="G708" s="59">
        <f>TRUNC(E708*F708,2)</f>
        <v>12.66</v>
      </c>
    </row>
    <row r="709" spans="1:7" ht="45">
      <c r="A709" s="61"/>
      <c r="B709" s="252" t="s">
        <v>858</v>
      </c>
      <c r="C709" s="267" t="s">
        <v>859</v>
      </c>
      <c r="D709" s="59" t="s">
        <v>19</v>
      </c>
      <c r="E709" s="59">
        <v>0.0376</v>
      </c>
      <c r="F709" s="59">
        <f>TRUNC(397.84,2)</f>
        <v>397.84</v>
      </c>
      <c r="G709" s="59">
        <f>TRUNC(E709*F709,2)</f>
        <v>14.95</v>
      </c>
    </row>
    <row r="710" spans="1:7" ht="18.75">
      <c r="A710" s="61"/>
      <c r="B710" s="252"/>
      <c r="C710" s="267"/>
      <c r="D710" s="59"/>
      <c r="E710" s="59" t="s">
        <v>53</v>
      </c>
      <c r="F710" s="59"/>
      <c r="G710" s="59">
        <f>TRUNC(SUM(G707:G709),2)</f>
        <v>31.24</v>
      </c>
    </row>
    <row r="711" spans="1:7" ht="47.25">
      <c r="A711" s="94" t="s">
        <v>711</v>
      </c>
      <c r="B711" s="392" t="s">
        <v>944</v>
      </c>
      <c r="C711" s="393" t="s">
        <v>584</v>
      </c>
      <c r="D711" s="392" t="s">
        <v>15</v>
      </c>
      <c r="E711" s="394">
        <v>1</v>
      </c>
      <c r="F711" s="394">
        <f>F712</f>
        <v>16.7</v>
      </c>
      <c r="G711" s="394">
        <f>TRUNC(E711*F711,2)</f>
        <v>16.7</v>
      </c>
    </row>
    <row r="712" spans="1:7" ht="47.25">
      <c r="A712" s="395"/>
      <c r="B712" s="396" t="s">
        <v>944</v>
      </c>
      <c r="C712" s="397" t="s">
        <v>945</v>
      </c>
      <c r="D712" s="396" t="s">
        <v>15</v>
      </c>
      <c r="E712" s="398">
        <v>1</v>
      </c>
      <c r="F712" s="398">
        <f>G716</f>
        <v>16.7</v>
      </c>
      <c r="G712" s="398">
        <f>TRUNC(E712*F712,2)</f>
        <v>16.7</v>
      </c>
    </row>
    <row r="713" spans="1:7" ht="15.75">
      <c r="A713" s="395"/>
      <c r="B713" s="396" t="s">
        <v>50</v>
      </c>
      <c r="C713" s="397" t="s">
        <v>51</v>
      </c>
      <c r="D713" s="396" t="s">
        <v>52</v>
      </c>
      <c r="E713" s="398">
        <v>0.4944</v>
      </c>
      <c r="F713" s="398">
        <f>TRUNC(14.47,2)</f>
        <v>14.47</v>
      </c>
      <c r="G713" s="398">
        <f>TRUNC(E713*F713,2)</f>
        <v>7.15</v>
      </c>
    </row>
    <row r="714" spans="1:7" ht="15.75">
      <c r="A714" s="395"/>
      <c r="B714" s="396" t="s">
        <v>946</v>
      </c>
      <c r="C714" s="397" t="s">
        <v>947</v>
      </c>
      <c r="D714" s="396" t="s">
        <v>52</v>
      </c>
      <c r="E714" s="398">
        <v>0.41200000000000003</v>
      </c>
      <c r="F714" s="398">
        <f>TRUNC(19.97,2)</f>
        <v>19.97</v>
      </c>
      <c r="G714" s="398">
        <f>TRUNC(E714*F714,2)</f>
        <v>8.22</v>
      </c>
    </row>
    <row r="715" spans="1:7" ht="15.75">
      <c r="A715" s="395"/>
      <c r="B715" s="396" t="s">
        <v>948</v>
      </c>
      <c r="C715" s="397" t="s">
        <v>949</v>
      </c>
      <c r="D715" s="396" t="s">
        <v>19</v>
      </c>
      <c r="E715" s="398">
        <v>0.0036</v>
      </c>
      <c r="F715" s="398">
        <f>TRUNC(369.7028,2)</f>
        <v>369.7</v>
      </c>
      <c r="G715" s="398">
        <f>TRUNC(E715*F715,2)</f>
        <v>1.33</v>
      </c>
    </row>
    <row r="716" spans="1:7" ht="15.75">
      <c r="A716" s="395"/>
      <c r="B716" s="396"/>
      <c r="C716" s="397"/>
      <c r="D716" s="396"/>
      <c r="E716" s="398" t="s">
        <v>53</v>
      </c>
      <c r="F716" s="398"/>
      <c r="G716" s="398">
        <f>TRUNC(SUM(G713:G715),2)</f>
        <v>16.7</v>
      </c>
    </row>
    <row r="717" spans="1:7" ht="45">
      <c r="A717" s="254" t="s">
        <v>712</v>
      </c>
      <c r="B717" s="141" t="s">
        <v>950</v>
      </c>
      <c r="C717" s="269" t="s">
        <v>585</v>
      </c>
      <c r="D717" s="256" t="s">
        <v>15</v>
      </c>
      <c r="E717" s="256">
        <v>1</v>
      </c>
      <c r="F717" s="256">
        <f>F718</f>
        <v>54</v>
      </c>
      <c r="G717" s="256">
        <f aca="true" t="shared" si="33" ref="G717:G723">TRUNC(E717*F717,2)</f>
        <v>54</v>
      </c>
    </row>
    <row r="718" spans="1:7" ht="60">
      <c r="A718" s="61"/>
      <c r="B718" s="399" t="s">
        <v>950</v>
      </c>
      <c r="C718" s="267" t="s">
        <v>556</v>
      </c>
      <c r="D718" s="59" t="s">
        <v>15</v>
      </c>
      <c r="E718" s="59">
        <v>1</v>
      </c>
      <c r="F718" s="59">
        <f>G724</f>
        <v>54</v>
      </c>
      <c r="G718" s="59">
        <f t="shared" si="33"/>
        <v>54</v>
      </c>
    </row>
    <row r="719" spans="1:7" ht="18.75">
      <c r="A719" s="61"/>
      <c r="B719" s="399" t="s">
        <v>160</v>
      </c>
      <c r="C719" s="267" t="s">
        <v>161</v>
      </c>
      <c r="D719" s="59" t="s">
        <v>24</v>
      </c>
      <c r="E719" s="59">
        <v>0.1</v>
      </c>
      <c r="F719" s="59">
        <f>TRUNC(1.84,2)</f>
        <v>1.84</v>
      </c>
      <c r="G719" s="59">
        <f t="shared" si="33"/>
        <v>0.18</v>
      </c>
    </row>
    <row r="720" spans="1:7" ht="18.75">
      <c r="A720" s="61"/>
      <c r="B720" s="399" t="s">
        <v>286</v>
      </c>
      <c r="C720" s="267" t="s">
        <v>287</v>
      </c>
      <c r="D720" s="59" t="s">
        <v>15</v>
      </c>
      <c r="E720" s="59">
        <v>1.1</v>
      </c>
      <c r="F720" s="59">
        <f>TRUNC(13.72,2)</f>
        <v>13.72</v>
      </c>
      <c r="G720" s="59">
        <f t="shared" si="33"/>
        <v>15.09</v>
      </c>
    </row>
    <row r="721" spans="1:7" ht="18.75">
      <c r="A721" s="61"/>
      <c r="B721" s="399" t="s">
        <v>50</v>
      </c>
      <c r="C721" s="267" t="s">
        <v>51</v>
      </c>
      <c r="D721" s="59" t="s">
        <v>52</v>
      </c>
      <c r="E721" s="59">
        <v>1.03</v>
      </c>
      <c r="F721" s="59">
        <f>TRUNC(14.47,2)</f>
        <v>14.47</v>
      </c>
      <c r="G721" s="59">
        <f t="shared" si="33"/>
        <v>14.9</v>
      </c>
    </row>
    <row r="722" spans="1:7" ht="18.75">
      <c r="A722" s="61"/>
      <c r="B722" s="399" t="s">
        <v>925</v>
      </c>
      <c r="C722" s="267" t="s">
        <v>926</v>
      </c>
      <c r="D722" s="59" t="s">
        <v>52</v>
      </c>
      <c r="E722" s="59">
        <v>1.03</v>
      </c>
      <c r="F722" s="59">
        <f>TRUNC(21.49,2)</f>
        <v>21.49</v>
      </c>
      <c r="G722" s="59">
        <f t="shared" si="33"/>
        <v>22.13</v>
      </c>
    </row>
    <row r="723" spans="1:7" ht="18.75">
      <c r="A723" s="61"/>
      <c r="B723" s="399" t="s">
        <v>951</v>
      </c>
      <c r="C723" s="267" t="s">
        <v>952</v>
      </c>
      <c r="D723" s="59" t="s">
        <v>19</v>
      </c>
      <c r="E723" s="59">
        <v>0.003</v>
      </c>
      <c r="F723" s="59">
        <f>TRUNC(567.8869,2)</f>
        <v>567.88</v>
      </c>
      <c r="G723" s="59">
        <f t="shared" si="33"/>
        <v>1.7</v>
      </c>
    </row>
    <row r="724" spans="1:7" ht="18.75">
      <c r="A724" s="61"/>
      <c r="B724" s="399"/>
      <c r="C724" s="267"/>
      <c r="D724" s="59"/>
      <c r="E724" s="59" t="s">
        <v>53</v>
      </c>
      <c r="F724" s="59"/>
      <c r="G724" s="59">
        <f>TRUNC(SUM(G719:G723),2)</f>
        <v>54</v>
      </c>
    </row>
    <row r="725" spans="1:7" s="52" customFormat="1" ht="18.75">
      <c r="A725" s="254" t="s">
        <v>713</v>
      </c>
      <c r="B725" s="141" t="s">
        <v>953</v>
      </c>
      <c r="C725" s="269" t="s">
        <v>465</v>
      </c>
      <c r="D725" s="256" t="s">
        <v>18</v>
      </c>
      <c r="E725" s="256">
        <v>1</v>
      </c>
      <c r="F725" s="256">
        <f>F726</f>
        <v>46.52</v>
      </c>
      <c r="G725" s="256">
        <f>TRUNC(E725*F725,2)</f>
        <v>46.52</v>
      </c>
    </row>
    <row r="726" spans="1:7" s="52" customFormat="1" ht="18.75">
      <c r="A726" s="61"/>
      <c r="B726" s="399" t="s">
        <v>953</v>
      </c>
      <c r="C726" s="267" t="s">
        <v>465</v>
      </c>
      <c r="D726" s="59" t="s">
        <v>18</v>
      </c>
      <c r="E726" s="59">
        <v>1</v>
      </c>
      <c r="F726" s="59">
        <f>G730</f>
        <v>46.52</v>
      </c>
      <c r="G726" s="59">
        <f>TRUNC(E726*F726,2)</f>
        <v>46.52</v>
      </c>
    </row>
    <row r="727" spans="1:7" s="52" customFormat="1" ht="18.75">
      <c r="A727" s="61"/>
      <c r="B727" s="399" t="s">
        <v>954</v>
      </c>
      <c r="C727" s="267" t="s">
        <v>466</v>
      </c>
      <c r="D727" s="59" t="s">
        <v>18</v>
      </c>
      <c r="E727" s="59">
        <v>1</v>
      </c>
      <c r="F727" s="59">
        <f>TRUNC(21.02,2)</f>
        <v>21.02</v>
      </c>
      <c r="G727" s="59">
        <f>TRUNC(E727*F727,2)</f>
        <v>21.02</v>
      </c>
    </row>
    <row r="728" spans="1:7" s="52" customFormat="1" ht="18.75">
      <c r="A728" s="61"/>
      <c r="B728" s="399" t="s">
        <v>54</v>
      </c>
      <c r="C728" s="267" t="s">
        <v>55</v>
      </c>
      <c r="D728" s="59" t="s">
        <v>52</v>
      </c>
      <c r="E728" s="59">
        <v>0.4</v>
      </c>
      <c r="F728" s="59">
        <f>TRUNC(21.24,2)</f>
        <v>21.24</v>
      </c>
      <c r="G728" s="59">
        <f>TRUNC(E728*F728,2)</f>
        <v>8.49</v>
      </c>
    </row>
    <row r="729" spans="1:7" s="52" customFormat="1" ht="18.75">
      <c r="A729" s="61"/>
      <c r="B729" s="399" t="s">
        <v>805</v>
      </c>
      <c r="C729" s="267" t="s">
        <v>181</v>
      </c>
      <c r="D729" s="59" t="s">
        <v>52</v>
      </c>
      <c r="E729" s="59">
        <v>0.6</v>
      </c>
      <c r="F729" s="59">
        <f>TRUNC(28.36,2)</f>
        <v>28.36</v>
      </c>
      <c r="G729" s="59">
        <f>TRUNC(E729*F729,2)</f>
        <v>17.01</v>
      </c>
    </row>
    <row r="730" spans="1:7" s="52" customFormat="1" ht="18.75">
      <c r="A730" s="61"/>
      <c r="B730" s="399"/>
      <c r="C730" s="267"/>
      <c r="D730" s="59"/>
      <c r="E730" s="59" t="s">
        <v>53</v>
      </c>
      <c r="F730" s="59"/>
      <c r="G730" s="59">
        <f>TRUNC(SUM(G727:G729),2)</f>
        <v>46.52</v>
      </c>
    </row>
    <row r="731" spans="1:7" ht="45">
      <c r="A731" s="254" t="s">
        <v>714</v>
      </c>
      <c r="B731" s="141" t="s">
        <v>955</v>
      </c>
      <c r="C731" s="269" t="s">
        <v>586</v>
      </c>
      <c r="D731" s="256" t="s">
        <v>15</v>
      </c>
      <c r="E731" s="256">
        <v>1</v>
      </c>
      <c r="F731" s="256">
        <f>F732</f>
        <v>72.53</v>
      </c>
      <c r="G731" s="256">
        <f aca="true" t="shared" si="34" ref="G731:G737">TRUNC(E731*F731,2)</f>
        <v>72.53</v>
      </c>
    </row>
    <row r="732" spans="1:7" ht="60">
      <c r="A732" s="61"/>
      <c r="B732" s="399" t="s">
        <v>955</v>
      </c>
      <c r="C732" s="267" t="s">
        <v>956</v>
      </c>
      <c r="D732" s="59" t="s">
        <v>15</v>
      </c>
      <c r="E732" s="59">
        <v>1</v>
      </c>
      <c r="F732" s="59">
        <f>G738</f>
        <v>72.53</v>
      </c>
      <c r="G732" s="59">
        <f t="shared" si="34"/>
        <v>72.53</v>
      </c>
    </row>
    <row r="733" spans="1:7" ht="18.75">
      <c r="A733" s="61"/>
      <c r="B733" s="399" t="s">
        <v>280</v>
      </c>
      <c r="C733" s="267" t="s">
        <v>281</v>
      </c>
      <c r="D733" s="59" t="s">
        <v>21</v>
      </c>
      <c r="E733" s="59">
        <v>0.32</v>
      </c>
      <c r="F733" s="59">
        <f>TRUNC(9.48,2)</f>
        <v>9.48</v>
      </c>
      <c r="G733" s="59">
        <f t="shared" si="34"/>
        <v>3.03</v>
      </c>
    </row>
    <row r="734" spans="1:7" ht="18.75">
      <c r="A734" s="61"/>
      <c r="B734" s="399" t="s">
        <v>282</v>
      </c>
      <c r="C734" s="267" t="s">
        <v>283</v>
      </c>
      <c r="D734" s="59" t="s">
        <v>21</v>
      </c>
      <c r="E734" s="59">
        <v>0.2</v>
      </c>
      <c r="F734" s="59">
        <f>TRUNC(20,2)</f>
        <v>20</v>
      </c>
      <c r="G734" s="59">
        <f t="shared" si="34"/>
        <v>4</v>
      </c>
    </row>
    <row r="735" spans="1:7" ht="18.75">
      <c r="A735" s="61"/>
      <c r="B735" s="399" t="s">
        <v>284</v>
      </c>
      <c r="C735" s="267" t="s">
        <v>285</v>
      </c>
      <c r="D735" s="59" t="s">
        <v>15</v>
      </c>
      <c r="E735" s="59">
        <v>1.1</v>
      </c>
      <c r="F735" s="59">
        <f>TRUNC(29.25,2)</f>
        <v>29.25</v>
      </c>
      <c r="G735" s="59">
        <f t="shared" si="34"/>
        <v>32.17</v>
      </c>
    </row>
    <row r="736" spans="1:7" ht="18.75">
      <c r="A736" s="61"/>
      <c r="B736" s="399" t="s">
        <v>50</v>
      </c>
      <c r="C736" s="267" t="s">
        <v>51</v>
      </c>
      <c r="D736" s="59" t="s">
        <v>52</v>
      </c>
      <c r="E736" s="59">
        <v>0.927</v>
      </c>
      <c r="F736" s="59">
        <f>TRUNC(14.47,2)</f>
        <v>14.47</v>
      </c>
      <c r="G736" s="59">
        <f t="shared" si="34"/>
        <v>13.41</v>
      </c>
    </row>
    <row r="737" spans="1:7" ht="18.75">
      <c r="A737" s="61"/>
      <c r="B737" s="399" t="s">
        <v>925</v>
      </c>
      <c r="C737" s="267" t="s">
        <v>926</v>
      </c>
      <c r="D737" s="59" t="s">
        <v>52</v>
      </c>
      <c r="E737" s="59">
        <v>0.927</v>
      </c>
      <c r="F737" s="59">
        <f>TRUNC(21.49,2)</f>
        <v>21.49</v>
      </c>
      <c r="G737" s="59">
        <f t="shared" si="34"/>
        <v>19.92</v>
      </c>
    </row>
    <row r="738" spans="1:7" ht="18.75">
      <c r="A738" s="61"/>
      <c r="B738" s="399"/>
      <c r="C738" s="267"/>
      <c r="D738" s="59"/>
      <c r="E738" s="59" t="s">
        <v>53</v>
      </c>
      <c r="F738" s="59"/>
      <c r="G738" s="59">
        <f>TRUNC(SUM(G733:G737),2)</f>
        <v>72.53</v>
      </c>
    </row>
    <row r="739" spans="1:7" ht="60">
      <c r="A739" s="287" t="s">
        <v>715</v>
      </c>
      <c r="B739" s="358" t="s">
        <v>1078</v>
      </c>
      <c r="C739" s="359" t="s">
        <v>756</v>
      </c>
      <c r="D739" s="360" t="s">
        <v>1079</v>
      </c>
      <c r="E739" s="360">
        <v>1</v>
      </c>
      <c r="F739" s="547">
        <f>G749</f>
        <v>147.10000000000002</v>
      </c>
      <c r="G739" s="360">
        <f aca="true" t="shared" si="35" ref="G739:G746">TRUNC(E739*F739,2)</f>
        <v>147.1</v>
      </c>
    </row>
    <row r="740" spans="1:7" ht="60">
      <c r="A740" s="543"/>
      <c r="B740" s="369" t="s">
        <v>1076</v>
      </c>
      <c r="C740" s="294" t="s">
        <v>1077</v>
      </c>
      <c r="D740" s="295" t="s">
        <v>18</v>
      </c>
      <c r="E740" s="295">
        <v>1</v>
      </c>
      <c r="F740" s="544">
        <f>G747</f>
        <v>44.13</v>
      </c>
      <c r="G740" s="296">
        <f>TRUNC(E740*F740,2)</f>
        <v>44.13</v>
      </c>
    </row>
    <row r="741" spans="1:7" ht="18.75">
      <c r="A741" s="518"/>
      <c r="B741" s="399" t="s">
        <v>295</v>
      </c>
      <c r="C741" s="267" t="s">
        <v>757</v>
      </c>
      <c r="D741" s="59" t="s">
        <v>18</v>
      </c>
      <c r="E741" s="59">
        <v>1.05</v>
      </c>
      <c r="F741" s="59">
        <f>TRUNC(9.04,2)</f>
        <v>9.04</v>
      </c>
      <c r="G741" s="299">
        <f t="shared" si="35"/>
        <v>9.49</v>
      </c>
    </row>
    <row r="742" spans="1:7" ht="18.75">
      <c r="A742" s="518"/>
      <c r="B742" s="399" t="s">
        <v>280</v>
      </c>
      <c r="C742" s="267" t="s">
        <v>281</v>
      </c>
      <c r="D742" s="59" t="s">
        <v>21</v>
      </c>
      <c r="E742" s="59">
        <v>0.2</v>
      </c>
      <c r="F742" s="59">
        <f>TRUNC(9.48,2)</f>
        <v>9.48</v>
      </c>
      <c r="G742" s="299">
        <f t="shared" si="35"/>
        <v>1.89</v>
      </c>
    </row>
    <row r="743" spans="1:7" ht="18.75">
      <c r="A743" s="518"/>
      <c r="B743" s="399" t="s">
        <v>50</v>
      </c>
      <c r="C743" s="267" t="s">
        <v>51</v>
      </c>
      <c r="D743" s="59" t="s">
        <v>52</v>
      </c>
      <c r="E743" s="59">
        <v>0.8755</v>
      </c>
      <c r="F743" s="59">
        <f>TRUNC(14.47,2)</f>
        <v>14.47</v>
      </c>
      <c r="G743" s="299">
        <f t="shared" si="35"/>
        <v>12.66</v>
      </c>
    </row>
    <row r="744" spans="1:7" ht="18.75">
      <c r="A744" s="518"/>
      <c r="B744" s="399" t="s">
        <v>162</v>
      </c>
      <c r="C744" s="267" t="s">
        <v>163</v>
      </c>
      <c r="D744" s="59" t="s">
        <v>52</v>
      </c>
      <c r="E744" s="59">
        <v>0.8240000000000001</v>
      </c>
      <c r="F744" s="59">
        <f>TRUNC(19.97,2)</f>
        <v>19.97</v>
      </c>
      <c r="G744" s="299">
        <f t="shared" si="35"/>
        <v>16.45</v>
      </c>
    </row>
    <row r="745" spans="1:7" ht="18.75">
      <c r="A745" s="518"/>
      <c r="B745" s="399" t="s">
        <v>951</v>
      </c>
      <c r="C745" s="267" t="s">
        <v>952</v>
      </c>
      <c r="D745" s="59" t="s">
        <v>19</v>
      </c>
      <c r="E745" s="59">
        <v>0.001</v>
      </c>
      <c r="F745" s="59">
        <f>TRUNC(567.8869,2)</f>
        <v>567.88</v>
      </c>
      <c r="G745" s="299">
        <f t="shared" si="35"/>
        <v>0.56</v>
      </c>
    </row>
    <row r="746" spans="1:7" ht="18.75">
      <c r="A746" s="518"/>
      <c r="B746" s="399" t="s">
        <v>957</v>
      </c>
      <c r="C746" s="267" t="s">
        <v>958</v>
      </c>
      <c r="D746" s="59" t="s">
        <v>19</v>
      </c>
      <c r="E746" s="59">
        <v>0.012</v>
      </c>
      <c r="F746" s="59">
        <f>TRUNC(256.8468,2)</f>
        <v>256.84</v>
      </c>
      <c r="G746" s="299">
        <f t="shared" si="35"/>
        <v>3.08</v>
      </c>
    </row>
    <row r="747" spans="1:7" ht="18.75">
      <c r="A747" s="518"/>
      <c r="B747" s="399"/>
      <c r="C747" s="267"/>
      <c r="D747" s="59"/>
      <c r="E747" s="59" t="s">
        <v>53</v>
      </c>
      <c r="F747" s="59"/>
      <c r="G747" s="545">
        <f>TRUNC(SUM(G741:G746),2)</f>
        <v>44.13</v>
      </c>
    </row>
    <row r="748" spans="1:7" ht="18.75">
      <c r="A748" s="518"/>
      <c r="B748" s="399"/>
      <c r="C748" s="267"/>
      <c r="D748" s="59"/>
      <c r="E748" s="59"/>
      <c r="F748" s="59"/>
      <c r="G748" s="299"/>
    </row>
    <row r="749" spans="1:7" ht="18.75">
      <c r="A749" s="518"/>
      <c r="B749" s="542"/>
      <c r="C749" s="336" t="s">
        <v>959</v>
      </c>
      <c r="D749" s="337"/>
      <c r="E749" s="337"/>
      <c r="F749" s="337"/>
      <c r="G749" s="546">
        <f>G747/0.3</f>
        <v>147.10000000000002</v>
      </c>
    </row>
    <row r="750" spans="1:7" s="52" customFormat="1" ht="18.75">
      <c r="A750" s="518"/>
      <c r="B750" s="399"/>
      <c r="C750" s="267"/>
      <c r="D750" s="59"/>
      <c r="E750" s="59"/>
      <c r="F750" s="59"/>
      <c r="G750" s="299"/>
    </row>
    <row r="751" spans="1:7" s="52" customFormat="1" ht="18.75">
      <c r="A751" s="329"/>
      <c r="B751" s="490"/>
      <c r="C751" s="362"/>
      <c r="D751" s="363"/>
      <c r="E751" s="363"/>
      <c r="F751" s="363"/>
      <c r="G751" s="364"/>
    </row>
    <row r="752" spans="1:8" ht="18.75">
      <c r="A752" s="493" t="s">
        <v>716</v>
      </c>
      <c r="B752" s="523" t="s">
        <v>960</v>
      </c>
      <c r="C752" s="514" t="s">
        <v>562</v>
      </c>
      <c r="D752" s="515" t="s">
        <v>15</v>
      </c>
      <c r="E752" s="515">
        <v>1</v>
      </c>
      <c r="F752" s="515">
        <f>F753</f>
        <v>40.24</v>
      </c>
      <c r="G752" s="515">
        <f aca="true" t="shared" si="36" ref="G752:G760">TRUNC(E752*F752,2)</f>
        <v>40.24</v>
      </c>
      <c r="H752" s="52"/>
    </row>
    <row r="753" spans="1:8" ht="18.75">
      <c r="A753" s="61"/>
      <c r="B753" s="399" t="s">
        <v>960</v>
      </c>
      <c r="C753" s="230" t="s">
        <v>562</v>
      </c>
      <c r="D753" s="59" t="s">
        <v>15</v>
      </c>
      <c r="E753" s="59">
        <v>1</v>
      </c>
      <c r="F753" s="59">
        <f>G761</f>
        <v>40.24</v>
      </c>
      <c r="G753" s="59">
        <f t="shared" si="36"/>
        <v>40.24</v>
      </c>
      <c r="H753" s="52"/>
    </row>
    <row r="754" spans="1:8" ht="18.75">
      <c r="A754" s="61"/>
      <c r="B754" s="399" t="s">
        <v>961</v>
      </c>
      <c r="C754" s="230" t="s">
        <v>563</v>
      </c>
      <c r="D754" s="59" t="s">
        <v>564</v>
      </c>
      <c r="E754" s="59">
        <v>0.0308</v>
      </c>
      <c r="F754" s="59">
        <f>TRUNC(18.93,2)</f>
        <v>18.93</v>
      </c>
      <c r="G754" s="59">
        <f t="shared" si="36"/>
        <v>0.58</v>
      </c>
      <c r="H754" s="52"/>
    </row>
    <row r="755" spans="1:8" ht="18.75">
      <c r="A755" s="61"/>
      <c r="B755" s="399" t="s">
        <v>962</v>
      </c>
      <c r="C755" s="230" t="s">
        <v>565</v>
      </c>
      <c r="D755" s="59" t="s">
        <v>24</v>
      </c>
      <c r="E755" s="59">
        <v>0.0078</v>
      </c>
      <c r="F755" s="59">
        <f>TRUNC(12,2)</f>
        <v>12</v>
      </c>
      <c r="G755" s="59">
        <f t="shared" si="36"/>
        <v>0.09</v>
      </c>
      <c r="H755" s="52"/>
    </row>
    <row r="756" spans="1:8" ht="30">
      <c r="A756" s="61"/>
      <c r="B756" s="399" t="s">
        <v>963</v>
      </c>
      <c r="C756" s="230" t="s">
        <v>566</v>
      </c>
      <c r="D756" s="59" t="s">
        <v>15</v>
      </c>
      <c r="E756" s="59">
        <v>1.074</v>
      </c>
      <c r="F756" s="59">
        <f>TRUNC(13.9,2)</f>
        <v>13.9</v>
      </c>
      <c r="G756" s="59">
        <f t="shared" si="36"/>
        <v>14.92</v>
      </c>
      <c r="H756" s="52"/>
    </row>
    <row r="757" spans="1:8" ht="18.75">
      <c r="A757" s="61"/>
      <c r="B757" s="399" t="s">
        <v>964</v>
      </c>
      <c r="C757" s="230" t="s">
        <v>568</v>
      </c>
      <c r="D757" s="59" t="s">
        <v>24</v>
      </c>
      <c r="E757" s="59">
        <v>0.025</v>
      </c>
      <c r="F757" s="59">
        <f>TRUNC(17.76,2)</f>
        <v>17.76</v>
      </c>
      <c r="G757" s="59">
        <f t="shared" si="36"/>
        <v>0.44</v>
      </c>
      <c r="H757" s="52"/>
    </row>
    <row r="758" spans="1:8" ht="18.75">
      <c r="A758" s="61"/>
      <c r="B758" s="399" t="s">
        <v>965</v>
      </c>
      <c r="C758" s="230" t="s">
        <v>567</v>
      </c>
      <c r="D758" s="59" t="s">
        <v>24</v>
      </c>
      <c r="E758" s="59">
        <v>0.9964</v>
      </c>
      <c r="F758" s="59">
        <f>TRUNC(0.61,2)</f>
        <v>0.61</v>
      </c>
      <c r="G758" s="59">
        <f t="shared" si="36"/>
        <v>0.6</v>
      </c>
      <c r="H758" s="52"/>
    </row>
    <row r="759" spans="1:8" ht="18.75">
      <c r="A759" s="61"/>
      <c r="B759" s="399" t="s">
        <v>54</v>
      </c>
      <c r="C759" s="230" t="s">
        <v>55</v>
      </c>
      <c r="D759" s="59" t="s">
        <v>52</v>
      </c>
      <c r="E759" s="59">
        <v>0.3156</v>
      </c>
      <c r="F759" s="59">
        <f>TRUNC(21.24,2)</f>
        <v>21.24</v>
      </c>
      <c r="G759" s="59">
        <f t="shared" si="36"/>
        <v>6.7</v>
      </c>
      <c r="H759" s="52"/>
    </row>
    <row r="760" spans="1:8" ht="18.75">
      <c r="A760" s="61"/>
      <c r="B760" s="399" t="s">
        <v>808</v>
      </c>
      <c r="C760" s="230" t="s">
        <v>420</v>
      </c>
      <c r="D760" s="59" t="s">
        <v>52</v>
      </c>
      <c r="E760" s="59">
        <v>0.6313</v>
      </c>
      <c r="F760" s="59">
        <f>TRUNC(26.8,2)</f>
        <v>26.8</v>
      </c>
      <c r="G760" s="59">
        <f t="shared" si="36"/>
        <v>16.91</v>
      </c>
      <c r="H760" s="52"/>
    </row>
    <row r="761" spans="1:8" ht="18.75">
      <c r="A761" s="61"/>
      <c r="B761" s="399"/>
      <c r="C761" s="230"/>
      <c r="D761" s="59"/>
      <c r="E761" s="59" t="s">
        <v>53</v>
      </c>
      <c r="F761" s="59"/>
      <c r="G761" s="59">
        <f>TRUNC(SUM(G754:G760),2)</f>
        <v>40.24</v>
      </c>
      <c r="H761" s="52"/>
    </row>
    <row r="762" spans="1:7" s="52" customFormat="1" ht="60">
      <c r="A762" s="357" t="s">
        <v>717</v>
      </c>
      <c r="B762" s="358" t="s">
        <v>1080</v>
      </c>
      <c r="C762" s="492" t="s">
        <v>33</v>
      </c>
      <c r="D762" s="360" t="s">
        <v>15</v>
      </c>
      <c r="E762" s="360">
        <v>1</v>
      </c>
      <c r="F762" s="360">
        <f>TRUNC(G771,2)</f>
        <v>123.93</v>
      </c>
      <c r="G762" s="360">
        <f>TRUNC(E762*F762,2)</f>
        <v>123.93</v>
      </c>
    </row>
    <row r="763" spans="1:7" s="52" customFormat="1" ht="18.75">
      <c r="A763" s="293"/>
      <c r="B763" s="369" t="s">
        <v>1081</v>
      </c>
      <c r="C763" s="485"/>
      <c r="D763" s="295"/>
      <c r="E763" s="295"/>
      <c r="F763" s="295"/>
      <c r="G763" s="296"/>
    </row>
    <row r="764" spans="1:7" s="52" customFormat="1" ht="30">
      <c r="A764" s="297"/>
      <c r="B764" s="552" t="s">
        <v>288</v>
      </c>
      <c r="C764" s="483" t="s">
        <v>289</v>
      </c>
      <c r="D764" s="553" t="s">
        <v>15</v>
      </c>
      <c r="E764" s="553">
        <v>1.1</v>
      </c>
      <c r="F764" s="553">
        <f>TRUNC(24.5,2)</f>
        <v>24.5</v>
      </c>
      <c r="G764" s="554"/>
    </row>
    <row r="765" spans="1:8" s="477" customFormat="1" ht="18.75">
      <c r="A765" s="297"/>
      <c r="B765" s="555" t="s">
        <v>121</v>
      </c>
      <c r="C765" s="527" t="s">
        <v>290</v>
      </c>
      <c r="D765" s="556" t="s">
        <v>15</v>
      </c>
      <c r="E765" s="556">
        <v>1.05</v>
      </c>
      <c r="F765" s="556">
        <v>24.3</v>
      </c>
      <c r="G765" s="557">
        <f>E765*F765</f>
        <v>25.515</v>
      </c>
      <c r="H765" s="477" t="s">
        <v>296</v>
      </c>
    </row>
    <row r="766" spans="1:7" s="52" customFormat="1" ht="18.75">
      <c r="A766" s="297"/>
      <c r="B766" s="399" t="s">
        <v>280</v>
      </c>
      <c r="C766" s="230" t="s">
        <v>281</v>
      </c>
      <c r="D766" s="59" t="s">
        <v>21</v>
      </c>
      <c r="E766" s="59">
        <v>0.32</v>
      </c>
      <c r="F766" s="59">
        <v>9.48</v>
      </c>
      <c r="G766" s="299">
        <f>TRUNC(E766*F766,2)</f>
        <v>3.03</v>
      </c>
    </row>
    <row r="767" spans="1:7" s="52" customFormat="1" ht="30">
      <c r="A767" s="297"/>
      <c r="B767" s="442" t="s">
        <v>291</v>
      </c>
      <c r="C767" s="483" t="s">
        <v>292</v>
      </c>
      <c r="D767" s="292" t="s">
        <v>24</v>
      </c>
      <c r="E767" s="292">
        <v>0.3</v>
      </c>
      <c r="F767" s="292">
        <v>40.7168</v>
      </c>
      <c r="G767" s="298"/>
    </row>
    <row r="768" spans="1:7" s="52" customFormat="1" ht="18.75">
      <c r="A768" s="297"/>
      <c r="B768" s="399" t="s">
        <v>50</v>
      </c>
      <c r="C768" s="230" t="s">
        <v>51</v>
      </c>
      <c r="D768" s="59" t="s">
        <v>52</v>
      </c>
      <c r="E768" s="59">
        <v>2.575</v>
      </c>
      <c r="F768" s="59">
        <v>14.47</v>
      </c>
      <c r="G768" s="299">
        <f>TRUNC(E768*F768,2)</f>
        <v>37.26</v>
      </c>
    </row>
    <row r="769" spans="1:7" s="52" customFormat="1" ht="18.75">
      <c r="A769" s="297"/>
      <c r="B769" s="399" t="s">
        <v>162</v>
      </c>
      <c r="C769" s="230" t="s">
        <v>163</v>
      </c>
      <c r="D769" s="59" t="s">
        <v>52</v>
      </c>
      <c r="E769" s="59">
        <v>2.575</v>
      </c>
      <c r="F769" s="59">
        <v>19.97</v>
      </c>
      <c r="G769" s="299">
        <f>TRUNC(E769*F769,2)</f>
        <v>51.42</v>
      </c>
    </row>
    <row r="770" spans="1:7" s="52" customFormat="1" ht="18.75">
      <c r="A770" s="297"/>
      <c r="B770" s="399" t="s">
        <v>293</v>
      </c>
      <c r="C770" s="230" t="s">
        <v>294</v>
      </c>
      <c r="D770" s="59" t="s">
        <v>19</v>
      </c>
      <c r="E770" s="59">
        <v>0.02</v>
      </c>
      <c r="F770" s="59">
        <v>335.9636</v>
      </c>
      <c r="G770" s="299">
        <f>TRUNC(E770*F770,2)</f>
        <v>6.71</v>
      </c>
    </row>
    <row r="771" spans="1:7" s="52" customFormat="1" ht="18.75">
      <c r="A771" s="361"/>
      <c r="B771" s="490"/>
      <c r="C771" s="491"/>
      <c r="D771" s="363"/>
      <c r="E771" s="363" t="s">
        <v>53</v>
      </c>
      <c r="F771" s="363"/>
      <c r="G771" s="364">
        <f>SUM(G764:G770)</f>
        <v>123.935</v>
      </c>
    </row>
    <row r="772" spans="1:7" ht="15.75">
      <c r="A772" s="548" t="s">
        <v>718</v>
      </c>
      <c r="B772" s="549"/>
      <c r="C772" s="550" t="s">
        <v>34</v>
      </c>
      <c r="D772" s="551"/>
      <c r="E772" s="551"/>
      <c r="F772" s="551"/>
      <c r="G772" s="551"/>
    </row>
    <row r="773" spans="1:8" ht="18.75">
      <c r="A773" s="318"/>
      <c r="B773" s="319"/>
      <c r="C773" s="240" t="s">
        <v>313</v>
      </c>
      <c r="D773" s="241"/>
      <c r="E773" s="241"/>
      <c r="F773" s="241"/>
      <c r="G773" s="241"/>
      <c r="H773" s="347">
        <f>TRUNC((F774*1.2882),2)</f>
        <v>95.42</v>
      </c>
    </row>
    <row r="774" spans="1:9" ht="60">
      <c r="A774" s="254" t="s">
        <v>719</v>
      </c>
      <c r="B774" s="139" t="s">
        <v>1082</v>
      </c>
      <c r="C774" s="312" t="s">
        <v>769</v>
      </c>
      <c r="D774" s="256" t="s">
        <v>15</v>
      </c>
      <c r="E774" s="256">
        <v>1</v>
      </c>
      <c r="F774" s="256">
        <f>TRUNC((F775+G787),2)</f>
        <v>74.08</v>
      </c>
      <c r="G774" s="256">
        <f aca="true" t="shared" si="37" ref="G774:G785">TRUNC(E774*F774,2)</f>
        <v>74.08</v>
      </c>
      <c r="I774" s="17"/>
    </row>
    <row r="775" spans="1:7" ht="60">
      <c r="A775" s="243" t="s">
        <v>767</v>
      </c>
      <c r="B775" s="458" t="s">
        <v>980</v>
      </c>
      <c r="C775" s="349" t="s">
        <v>766</v>
      </c>
      <c r="D775" s="241" t="s">
        <v>15</v>
      </c>
      <c r="E775" s="241">
        <v>1</v>
      </c>
      <c r="F775" s="350">
        <f>F776</f>
        <v>56.3</v>
      </c>
      <c r="G775" s="351">
        <f t="shared" si="37"/>
        <v>56.3</v>
      </c>
    </row>
    <row r="776" spans="1:7" ht="75">
      <c r="A776" s="17"/>
      <c r="B776" s="165" t="s">
        <v>966</v>
      </c>
      <c r="C776" s="57" t="s">
        <v>967</v>
      </c>
      <c r="D776" s="2" t="s">
        <v>15</v>
      </c>
      <c r="E776" s="2">
        <v>1</v>
      </c>
      <c r="F776" s="2">
        <f>G786</f>
        <v>56.3</v>
      </c>
      <c r="G776" s="2">
        <f t="shared" si="37"/>
        <v>56.3</v>
      </c>
    </row>
    <row r="777" spans="1:7" ht="18.75">
      <c r="A777" s="17"/>
      <c r="B777" s="165" t="s">
        <v>208</v>
      </c>
      <c r="C777" s="57" t="s">
        <v>209</v>
      </c>
      <c r="D777" s="2" t="s">
        <v>24</v>
      </c>
      <c r="E777" s="2">
        <v>14</v>
      </c>
      <c r="F777" s="2">
        <f>TRUNC(0.52,2)</f>
        <v>0.52</v>
      </c>
      <c r="G777" s="2">
        <f t="shared" si="37"/>
        <v>7.28</v>
      </c>
    </row>
    <row r="778" spans="1:7" ht="18.75">
      <c r="A778" s="17"/>
      <c r="B778" s="165" t="s">
        <v>164</v>
      </c>
      <c r="C778" s="57" t="s">
        <v>778</v>
      </c>
      <c r="D778" s="2" t="s">
        <v>24</v>
      </c>
      <c r="E778" s="2">
        <v>25.2</v>
      </c>
      <c r="F778" s="2">
        <f>TRUNC(0.347,2)</f>
        <v>0.34</v>
      </c>
      <c r="G778" s="2">
        <f t="shared" si="37"/>
        <v>8.56</v>
      </c>
    </row>
    <row r="779" spans="1:7" s="4" customFormat="1" ht="18.75">
      <c r="A779" s="17"/>
      <c r="B779" s="346" t="s">
        <v>165</v>
      </c>
      <c r="C779" s="220" t="s">
        <v>166</v>
      </c>
      <c r="D779" s="4" t="s">
        <v>19</v>
      </c>
      <c r="E779" s="4">
        <v>0</v>
      </c>
      <c r="F779" s="4">
        <f>TRUNC(56,2)</f>
        <v>56</v>
      </c>
      <c r="G779" s="4">
        <f t="shared" si="37"/>
        <v>0</v>
      </c>
    </row>
    <row r="780" spans="1:7" ht="18.75">
      <c r="A780" s="17"/>
      <c r="B780" s="165" t="s">
        <v>50</v>
      </c>
      <c r="C780" s="57" t="s">
        <v>51</v>
      </c>
      <c r="D780" s="2" t="s">
        <v>52</v>
      </c>
      <c r="E780" s="2">
        <v>0.7725</v>
      </c>
      <c r="F780" s="2">
        <f>TRUNC(14.47,2)</f>
        <v>14.47</v>
      </c>
      <c r="G780" s="2">
        <f t="shared" si="37"/>
        <v>11.17</v>
      </c>
    </row>
    <row r="781" spans="1:7" ht="18.75">
      <c r="A781" s="17"/>
      <c r="B781" s="165" t="s">
        <v>968</v>
      </c>
      <c r="C781" s="57" t="s">
        <v>969</v>
      </c>
      <c r="D781" s="2" t="s">
        <v>52</v>
      </c>
      <c r="E781" s="2">
        <v>1.1844999999999999</v>
      </c>
      <c r="F781" s="2">
        <f>TRUNC(19.97,2)</f>
        <v>19.97</v>
      </c>
      <c r="G781" s="2">
        <f t="shared" si="37"/>
        <v>23.65</v>
      </c>
    </row>
    <row r="782" spans="1:7" ht="18.75">
      <c r="A782" s="17"/>
      <c r="B782" s="165" t="s">
        <v>210</v>
      </c>
      <c r="C782" s="57" t="s">
        <v>211</v>
      </c>
      <c r="D782" s="2" t="s">
        <v>21</v>
      </c>
      <c r="E782" s="2">
        <v>0.08</v>
      </c>
      <c r="F782" s="2">
        <f>TRUNC(17.01,2)</f>
        <v>17.01</v>
      </c>
      <c r="G782" s="2">
        <f t="shared" si="37"/>
        <v>1.36</v>
      </c>
    </row>
    <row r="783" spans="1:7" ht="18.75">
      <c r="A783" s="17"/>
      <c r="B783" s="165" t="s">
        <v>212</v>
      </c>
      <c r="C783" s="57" t="s">
        <v>213</v>
      </c>
      <c r="D783" s="2" t="s">
        <v>21</v>
      </c>
      <c r="E783" s="2">
        <v>0.1</v>
      </c>
      <c r="F783" s="2">
        <f>TRUNC(17.01,2)</f>
        <v>17.01</v>
      </c>
      <c r="G783" s="2">
        <f t="shared" si="37"/>
        <v>1.7</v>
      </c>
    </row>
    <row r="784" spans="1:7" ht="18.75">
      <c r="A784" s="17"/>
      <c r="B784" s="165" t="s">
        <v>970</v>
      </c>
      <c r="C784" s="57" t="s">
        <v>971</v>
      </c>
      <c r="D784" s="2" t="s">
        <v>52</v>
      </c>
      <c r="E784" s="2">
        <v>0.65</v>
      </c>
      <c r="F784" s="2">
        <f>TRUNC(0.781,2)</f>
        <v>0.78</v>
      </c>
      <c r="G784" s="2">
        <f t="shared" si="37"/>
        <v>0.5</v>
      </c>
    </row>
    <row r="785" spans="1:7" ht="18.75">
      <c r="A785" s="17"/>
      <c r="B785" s="165" t="s">
        <v>972</v>
      </c>
      <c r="C785" s="57" t="s">
        <v>973</v>
      </c>
      <c r="D785" s="2" t="s">
        <v>52</v>
      </c>
      <c r="E785" s="2">
        <v>0.5</v>
      </c>
      <c r="F785" s="2">
        <f>TRUNC(4.1728,2)</f>
        <v>4.17</v>
      </c>
      <c r="G785" s="2">
        <f t="shared" si="37"/>
        <v>2.08</v>
      </c>
    </row>
    <row r="786" spans="1:7" ht="18.75">
      <c r="A786" s="17"/>
      <c r="C786" s="57"/>
      <c r="E786" s="2" t="s">
        <v>53</v>
      </c>
      <c r="G786" s="2">
        <f>TRUNC(SUM(G777:G785),2)</f>
        <v>56.3</v>
      </c>
    </row>
    <row r="787" spans="1:9" ht="18.75">
      <c r="A787" s="243" t="s">
        <v>768</v>
      </c>
      <c r="B787" s="348" t="s">
        <v>974</v>
      </c>
      <c r="C787" s="349" t="s">
        <v>761</v>
      </c>
      <c r="D787" s="241" t="s">
        <v>18</v>
      </c>
      <c r="E787" s="241">
        <v>2.6</v>
      </c>
      <c r="F787" s="352">
        <f>F788</f>
        <v>6.84</v>
      </c>
      <c r="G787" s="353">
        <f aca="true" t="shared" si="38" ref="G787:G793">TRUNC(E787*F787,2)</f>
        <v>17.78</v>
      </c>
      <c r="I787" s="17"/>
    </row>
    <row r="788" spans="1:9" s="52" customFormat="1" ht="30">
      <c r="A788" s="61"/>
      <c r="B788" s="399" t="s">
        <v>974</v>
      </c>
      <c r="C788" s="313" t="s">
        <v>975</v>
      </c>
      <c r="D788" s="59" t="s">
        <v>18</v>
      </c>
      <c r="E788" s="59">
        <v>1</v>
      </c>
      <c r="F788" s="400">
        <f>G794</f>
        <v>6.84</v>
      </c>
      <c r="G788" s="400">
        <f t="shared" si="38"/>
        <v>6.84</v>
      </c>
      <c r="I788" s="53"/>
    </row>
    <row r="789" spans="1:9" s="52" customFormat="1" ht="18.75">
      <c r="A789" s="61"/>
      <c r="B789" s="399" t="s">
        <v>762</v>
      </c>
      <c r="C789" s="313" t="s">
        <v>763</v>
      </c>
      <c r="D789" s="59" t="s">
        <v>18</v>
      </c>
      <c r="E789" s="59">
        <v>1</v>
      </c>
      <c r="F789" s="400">
        <f>TRUNC(0.7,2)</f>
        <v>0.7</v>
      </c>
      <c r="G789" s="400">
        <f t="shared" si="38"/>
        <v>0.7</v>
      </c>
      <c r="I789" s="53"/>
    </row>
    <row r="790" spans="1:9" s="52" customFormat="1" ht="18.75">
      <c r="A790" s="61"/>
      <c r="B790" s="399" t="s">
        <v>164</v>
      </c>
      <c r="C790" s="313" t="s">
        <v>778</v>
      </c>
      <c r="D790" s="59" t="s">
        <v>24</v>
      </c>
      <c r="E790" s="59">
        <v>1.2</v>
      </c>
      <c r="F790" s="400">
        <f>TRUNC(0.347,2)</f>
        <v>0.34</v>
      </c>
      <c r="G790" s="400">
        <f t="shared" si="38"/>
        <v>0.4</v>
      </c>
      <c r="I790" s="53"/>
    </row>
    <row r="791" spans="1:9" s="52" customFormat="1" ht="18.75">
      <c r="A791" s="61"/>
      <c r="B791" s="399" t="s">
        <v>165</v>
      </c>
      <c r="C791" s="313" t="s">
        <v>166</v>
      </c>
      <c r="D791" s="59" t="s">
        <v>19</v>
      </c>
      <c r="E791" s="59">
        <v>0.0025</v>
      </c>
      <c r="F791" s="400">
        <f>TRUNC(56,2)</f>
        <v>56</v>
      </c>
      <c r="G791" s="400">
        <f t="shared" si="38"/>
        <v>0.14</v>
      </c>
      <c r="I791" s="53"/>
    </row>
    <row r="792" spans="1:9" s="52" customFormat="1" ht="18.75">
      <c r="A792" s="61"/>
      <c r="B792" s="399" t="s">
        <v>50</v>
      </c>
      <c r="C792" s="313" t="s">
        <v>51</v>
      </c>
      <c r="D792" s="59" t="s">
        <v>52</v>
      </c>
      <c r="E792" s="59">
        <v>0.10300000000000001</v>
      </c>
      <c r="F792" s="400">
        <f>TRUNC(14.47,2)</f>
        <v>14.47</v>
      </c>
      <c r="G792" s="400">
        <f t="shared" si="38"/>
        <v>1.49</v>
      </c>
      <c r="I792" s="53"/>
    </row>
    <row r="793" spans="1:9" s="52" customFormat="1" ht="18.75">
      <c r="A793" s="61"/>
      <c r="B793" s="399" t="s">
        <v>794</v>
      </c>
      <c r="C793" s="313" t="s">
        <v>795</v>
      </c>
      <c r="D793" s="59" t="s">
        <v>52</v>
      </c>
      <c r="E793" s="59">
        <v>0.20600000000000002</v>
      </c>
      <c r="F793" s="400">
        <f>TRUNC(19.97,2)</f>
        <v>19.97</v>
      </c>
      <c r="G793" s="400">
        <f t="shared" si="38"/>
        <v>4.11</v>
      </c>
      <c r="I793" s="53"/>
    </row>
    <row r="794" spans="1:9" s="52" customFormat="1" ht="18.75">
      <c r="A794" s="61"/>
      <c r="B794" s="399"/>
      <c r="C794" s="313"/>
      <c r="D794" s="59"/>
      <c r="E794" s="59" t="s">
        <v>53</v>
      </c>
      <c r="F794" s="400"/>
      <c r="G794" s="400">
        <f>TRUNC(SUM(G789:G793),2)</f>
        <v>6.84</v>
      </c>
      <c r="I794" s="53"/>
    </row>
    <row r="795" spans="1:9" s="354" customFormat="1" ht="38.25" customHeight="1">
      <c r="A795" s="668" t="s">
        <v>764</v>
      </c>
      <c r="B795" s="668"/>
      <c r="C795" s="668"/>
      <c r="D795" s="668"/>
      <c r="E795" s="668"/>
      <c r="F795" s="668"/>
      <c r="G795" s="668"/>
      <c r="I795" s="355"/>
    </row>
    <row r="796" spans="1:9" s="354" customFormat="1" ht="38.25" customHeight="1">
      <c r="A796" s="668" t="s">
        <v>765</v>
      </c>
      <c r="B796" s="668"/>
      <c r="C796" s="668"/>
      <c r="D796" s="668"/>
      <c r="E796" s="668"/>
      <c r="F796" s="668"/>
      <c r="G796" s="668"/>
      <c r="I796" s="355"/>
    </row>
    <row r="797" spans="1:9" s="354" customFormat="1" ht="38.25" customHeight="1">
      <c r="A797" s="668" t="s">
        <v>770</v>
      </c>
      <c r="B797" s="668"/>
      <c r="C797" s="668"/>
      <c r="D797" s="668"/>
      <c r="E797" s="668"/>
      <c r="F797" s="668"/>
      <c r="G797" s="668"/>
      <c r="I797" s="355"/>
    </row>
    <row r="798" spans="1:9" ht="18.75">
      <c r="A798" s="668" t="s">
        <v>771</v>
      </c>
      <c r="B798" s="668"/>
      <c r="C798" s="668"/>
      <c r="D798" s="668"/>
      <c r="E798" s="668"/>
      <c r="F798" s="668"/>
      <c r="G798" s="668"/>
      <c r="I798" s="17"/>
    </row>
    <row r="799" spans="1:7" ht="30">
      <c r="A799" s="254" t="s">
        <v>720</v>
      </c>
      <c r="B799" s="141" t="s">
        <v>976</v>
      </c>
      <c r="C799" s="312" t="s">
        <v>384</v>
      </c>
      <c r="D799" s="256" t="s">
        <v>15</v>
      </c>
      <c r="E799" s="256">
        <v>1</v>
      </c>
      <c r="F799" s="256">
        <f>F800</f>
        <v>98.64</v>
      </c>
      <c r="G799" s="256">
        <f aca="true" t="shared" si="39" ref="G799:G805">TRUNC(E799*F799,2)</f>
        <v>98.64</v>
      </c>
    </row>
    <row r="800" spans="1:7" ht="30">
      <c r="A800" s="61"/>
      <c r="B800" s="399" t="s">
        <v>976</v>
      </c>
      <c r="C800" s="313" t="s">
        <v>384</v>
      </c>
      <c r="D800" s="59" t="s">
        <v>15</v>
      </c>
      <c r="E800" s="59">
        <v>1</v>
      </c>
      <c r="F800" s="59">
        <f>G806</f>
        <v>98.64</v>
      </c>
      <c r="G800" s="59">
        <f t="shared" si="39"/>
        <v>98.64</v>
      </c>
    </row>
    <row r="801" spans="1:7" ht="18.75">
      <c r="A801" s="61"/>
      <c r="B801" s="399" t="s">
        <v>977</v>
      </c>
      <c r="C801" s="313" t="s">
        <v>298</v>
      </c>
      <c r="D801" s="59" t="s">
        <v>24</v>
      </c>
      <c r="E801" s="59">
        <v>8.62</v>
      </c>
      <c r="F801" s="59">
        <f>TRUNC(1.52,2)</f>
        <v>1.52</v>
      </c>
      <c r="G801" s="59">
        <f t="shared" si="39"/>
        <v>13.1</v>
      </c>
    </row>
    <row r="802" spans="1:7" ht="18.75">
      <c r="A802" s="61"/>
      <c r="B802" s="399" t="s">
        <v>978</v>
      </c>
      <c r="C802" s="313" t="s">
        <v>207</v>
      </c>
      <c r="D802" s="59" t="s">
        <v>24</v>
      </c>
      <c r="E802" s="59">
        <v>0.24</v>
      </c>
      <c r="F802" s="59">
        <f>TRUNC(3.18,2)</f>
        <v>3.18</v>
      </c>
      <c r="G802" s="59">
        <f t="shared" si="39"/>
        <v>0.76</v>
      </c>
    </row>
    <row r="803" spans="1:7" ht="18.75">
      <c r="A803" s="61"/>
      <c r="B803" s="399" t="s">
        <v>979</v>
      </c>
      <c r="C803" s="313" t="s">
        <v>297</v>
      </c>
      <c r="D803" s="59" t="s">
        <v>15</v>
      </c>
      <c r="E803" s="59">
        <v>1.1</v>
      </c>
      <c r="F803" s="59">
        <f>TRUNC(46.02,2)</f>
        <v>46.02</v>
      </c>
      <c r="G803" s="59">
        <f t="shared" si="39"/>
        <v>50.62</v>
      </c>
    </row>
    <row r="804" spans="1:7" ht="18.75">
      <c r="A804" s="61"/>
      <c r="B804" s="399" t="s">
        <v>54</v>
      </c>
      <c r="C804" s="313" t="s">
        <v>55</v>
      </c>
      <c r="D804" s="59" t="s">
        <v>52</v>
      </c>
      <c r="E804" s="59">
        <v>0.34</v>
      </c>
      <c r="F804" s="59">
        <f>TRUNC(21.24,2)</f>
        <v>21.24</v>
      </c>
      <c r="G804" s="59">
        <f t="shared" si="39"/>
        <v>7.22</v>
      </c>
    </row>
    <row r="805" spans="1:7" ht="18.75">
      <c r="A805" s="61"/>
      <c r="B805" s="399" t="s">
        <v>805</v>
      </c>
      <c r="C805" s="313" t="s">
        <v>181</v>
      </c>
      <c r="D805" s="59" t="s">
        <v>52</v>
      </c>
      <c r="E805" s="59">
        <v>0.95</v>
      </c>
      <c r="F805" s="59">
        <f>TRUNC(28.36,2)</f>
        <v>28.36</v>
      </c>
      <c r="G805" s="59">
        <f t="shared" si="39"/>
        <v>26.94</v>
      </c>
    </row>
    <row r="806" spans="1:7" ht="18.75">
      <c r="A806" s="61"/>
      <c r="B806" s="399"/>
      <c r="C806" s="313"/>
      <c r="D806" s="59"/>
      <c r="E806" s="59" t="s">
        <v>53</v>
      </c>
      <c r="F806" s="59"/>
      <c r="G806" s="59">
        <f>TRUNC(SUM(G801:G805),2)</f>
        <v>98.64</v>
      </c>
    </row>
    <row r="807" spans="1:7" ht="18.75">
      <c r="A807" s="28"/>
      <c r="B807" s="97"/>
      <c r="C807" s="237" t="s">
        <v>314</v>
      </c>
      <c r="D807" s="15"/>
      <c r="E807" s="15"/>
      <c r="F807" s="15"/>
      <c r="G807" s="15"/>
    </row>
    <row r="808" spans="1:9" s="385" customFormat="1" ht="30">
      <c r="A808" s="629" t="s">
        <v>721</v>
      </c>
      <c r="B808" s="630" t="s">
        <v>1270</v>
      </c>
      <c r="C808" s="631" t="s">
        <v>315</v>
      </c>
      <c r="D808" s="632" t="s">
        <v>19</v>
      </c>
      <c r="E808" s="632">
        <v>1</v>
      </c>
      <c r="F808" s="633">
        <f>G809</f>
        <v>938.25</v>
      </c>
      <c r="G808" s="632">
        <f aca="true" t="shared" si="40" ref="G808:G817">TRUNC(E808*F808,2)</f>
        <v>938.25</v>
      </c>
      <c r="I808" s="59">
        <f>TRUNC((F808*1.2247),2)</f>
        <v>1149.07</v>
      </c>
    </row>
    <row r="809" spans="1:7" ht="30">
      <c r="A809" s="61"/>
      <c r="B809" s="399" t="s">
        <v>981</v>
      </c>
      <c r="C809" s="313" t="s">
        <v>315</v>
      </c>
      <c r="D809" s="59" t="s">
        <v>15</v>
      </c>
      <c r="E809" s="528">
        <f>1/0.08</f>
        <v>12.5</v>
      </c>
      <c r="F809" s="59">
        <f>G818</f>
        <v>75.06</v>
      </c>
      <c r="G809" s="628">
        <f t="shared" si="40"/>
        <v>938.25</v>
      </c>
    </row>
    <row r="810" spans="1:9" ht="30">
      <c r="A810" s="61"/>
      <c r="B810" s="399" t="s">
        <v>316</v>
      </c>
      <c r="C810" s="313" t="s">
        <v>317</v>
      </c>
      <c r="D810" s="59" t="s">
        <v>15</v>
      </c>
      <c r="E810" s="59">
        <v>1.1224</v>
      </c>
      <c r="F810" s="59">
        <f>TRUNC(18.68,2)</f>
        <v>18.68</v>
      </c>
      <c r="G810" s="59">
        <f t="shared" si="40"/>
        <v>20.96</v>
      </c>
      <c r="H810" s="2">
        <f>E810*I810</f>
        <v>14.030000000000001</v>
      </c>
      <c r="I810" s="2">
        <v>12.5</v>
      </c>
    </row>
    <row r="811" spans="1:9" ht="30">
      <c r="A811" s="61"/>
      <c r="B811" s="399" t="s">
        <v>982</v>
      </c>
      <c r="C811" s="313" t="s">
        <v>983</v>
      </c>
      <c r="D811" s="59" t="s">
        <v>18</v>
      </c>
      <c r="E811" s="59">
        <v>0.2</v>
      </c>
      <c r="F811" s="59">
        <f>TRUNC(1.5,2)</f>
        <v>1.5</v>
      </c>
      <c r="G811" s="59">
        <f t="shared" si="40"/>
        <v>0.3</v>
      </c>
      <c r="H811" s="2">
        <f aca="true" t="shared" si="41" ref="H811:H816">E811*I811</f>
        <v>2.5</v>
      </c>
      <c r="I811" s="2">
        <v>12.5</v>
      </c>
    </row>
    <row r="812" spans="1:9" ht="30">
      <c r="A812" s="61"/>
      <c r="B812" s="399" t="s">
        <v>984</v>
      </c>
      <c r="C812" s="313" t="s">
        <v>318</v>
      </c>
      <c r="D812" s="59" t="s">
        <v>18</v>
      </c>
      <c r="E812" s="59">
        <v>0.25</v>
      </c>
      <c r="F812" s="59">
        <f>TRUNC(7.41,2)</f>
        <v>7.41</v>
      </c>
      <c r="G812" s="59">
        <f t="shared" si="40"/>
        <v>1.85</v>
      </c>
      <c r="H812" s="2">
        <f t="shared" si="41"/>
        <v>3.125</v>
      </c>
      <c r="I812" s="2">
        <v>12.5</v>
      </c>
    </row>
    <row r="813" spans="1:9" ht="18.75">
      <c r="A813" s="61"/>
      <c r="B813" s="399" t="s">
        <v>985</v>
      </c>
      <c r="C813" s="313" t="s">
        <v>319</v>
      </c>
      <c r="D813" s="59" t="s">
        <v>15</v>
      </c>
      <c r="E813" s="59">
        <v>1.128</v>
      </c>
      <c r="F813" s="59">
        <f>TRUNC(0.79,2)</f>
        <v>0.79</v>
      </c>
      <c r="G813" s="59">
        <f t="shared" si="40"/>
        <v>0.89</v>
      </c>
      <c r="H813" s="2">
        <f t="shared" si="41"/>
        <v>14.099999999999998</v>
      </c>
      <c r="I813" s="2">
        <v>12.5</v>
      </c>
    </row>
    <row r="814" spans="1:9" ht="18.75">
      <c r="A814" s="61"/>
      <c r="B814" s="399" t="s">
        <v>54</v>
      </c>
      <c r="C814" s="313" t="s">
        <v>55</v>
      </c>
      <c r="D814" s="59" t="s">
        <v>52</v>
      </c>
      <c r="E814" s="59">
        <v>0.4572</v>
      </c>
      <c r="F814" s="59">
        <f>TRUNC(21.24,2)</f>
        <v>21.24</v>
      </c>
      <c r="G814" s="59">
        <f t="shared" si="40"/>
        <v>9.71</v>
      </c>
      <c r="H814" s="2">
        <f t="shared" si="41"/>
        <v>5.715</v>
      </c>
      <c r="I814" s="2">
        <v>12.5</v>
      </c>
    </row>
    <row r="815" spans="1:9" ht="18.75">
      <c r="A815" s="61"/>
      <c r="B815" s="399" t="s">
        <v>118</v>
      </c>
      <c r="C815" s="313" t="s">
        <v>119</v>
      </c>
      <c r="D815" s="59" t="s">
        <v>52</v>
      </c>
      <c r="E815" s="59">
        <v>0.2767</v>
      </c>
      <c r="F815" s="59">
        <f>TRUNC(26.95,2)</f>
        <v>26.95</v>
      </c>
      <c r="G815" s="59">
        <f t="shared" si="40"/>
        <v>7.45</v>
      </c>
      <c r="H815" s="2">
        <f t="shared" si="41"/>
        <v>3.45875</v>
      </c>
      <c r="I815" s="2">
        <v>12.5</v>
      </c>
    </row>
    <row r="816" spans="1:9" ht="18.75">
      <c r="A816" s="61"/>
      <c r="B816" s="399" t="s">
        <v>832</v>
      </c>
      <c r="C816" s="313" t="s">
        <v>320</v>
      </c>
      <c r="D816" s="59" t="s">
        <v>52</v>
      </c>
      <c r="E816" s="59">
        <v>0.1805</v>
      </c>
      <c r="F816" s="59">
        <f>TRUNC(26.56,2)</f>
        <v>26.56</v>
      </c>
      <c r="G816" s="59">
        <f t="shared" si="40"/>
        <v>4.79</v>
      </c>
      <c r="H816" s="2">
        <f t="shared" si="41"/>
        <v>2.25625</v>
      </c>
      <c r="I816" s="2">
        <v>12.5</v>
      </c>
    </row>
    <row r="817" spans="1:9" ht="30">
      <c r="A817" s="61"/>
      <c r="B817" s="399" t="s">
        <v>910</v>
      </c>
      <c r="C817" s="313" t="s">
        <v>321</v>
      </c>
      <c r="D817" s="59" t="s">
        <v>19</v>
      </c>
      <c r="E817" s="59">
        <v>0.097</v>
      </c>
      <c r="F817" s="59">
        <f>TRUNC(300.17,2)</f>
        <v>300.17</v>
      </c>
      <c r="G817" s="59">
        <f t="shared" si="40"/>
        <v>29.11</v>
      </c>
      <c r="H817" s="2">
        <f>E817*I817</f>
        <v>1.3095</v>
      </c>
      <c r="I817" s="2">
        <v>13.5</v>
      </c>
    </row>
    <row r="818" spans="1:7" ht="18.75">
      <c r="A818" s="61"/>
      <c r="B818" s="399"/>
      <c r="C818" s="313"/>
      <c r="D818" s="59"/>
      <c r="E818" s="59" t="s">
        <v>53</v>
      </c>
      <c r="F818" s="59"/>
      <c r="G818" s="59">
        <f>TRUNC(SUM(G810:G817),2)</f>
        <v>75.06</v>
      </c>
    </row>
    <row r="819" spans="1:7" ht="30">
      <c r="A819" s="254" t="s">
        <v>722</v>
      </c>
      <c r="B819" s="141" t="s">
        <v>986</v>
      </c>
      <c r="C819" s="312" t="s">
        <v>587</v>
      </c>
      <c r="D819" s="256" t="s">
        <v>18</v>
      </c>
      <c r="E819" s="256">
        <v>1</v>
      </c>
      <c r="F819" s="256">
        <f>F820</f>
        <v>38.01</v>
      </c>
      <c r="G819" s="256">
        <f aca="true" t="shared" si="42" ref="G819:G826">TRUNC(E819*F819,2)</f>
        <v>38.01</v>
      </c>
    </row>
    <row r="820" spans="1:7" ht="30">
      <c r="A820" s="61"/>
      <c r="B820" s="399" t="s">
        <v>986</v>
      </c>
      <c r="C820" s="313" t="s">
        <v>322</v>
      </c>
      <c r="D820" s="59" t="s">
        <v>18</v>
      </c>
      <c r="E820" s="59">
        <v>1</v>
      </c>
      <c r="F820" s="59">
        <f>G827</f>
        <v>38.01</v>
      </c>
      <c r="G820" s="59">
        <f t="shared" si="42"/>
        <v>38.01</v>
      </c>
    </row>
    <row r="821" spans="1:7" ht="18.75">
      <c r="A821" s="61"/>
      <c r="B821" s="399" t="s">
        <v>50</v>
      </c>
      <c r="C821" s="313" t="s">
        <v>51</v>
      </c>
      <c r="D821" s="59" t="s">
        <v>52</v>
      </c>
      <c r="E821" s="59">
        <v>0.0927</v>
      </c>
      <c r="F821" s="59">
        <f>TRUNC(14.47,2)</f>
        <v>14.47</v>
      </c>
      <c r="G821" s="59">
        <f t="shared" si="42"/>
        <v>1.34</v>
      </c>
    </row>
    <row r="822" spans="1:7" ht="18.75">
      <c r="A822" s="61"/>
      <c r="B822" s="399" t="s">
        <v>987</v>
      </c>
      <c r="C822" s="313" t="s">
        <v>988</v>
      </c>
      <c r="D822" s="59" t="s">
        <v>19</v>
      </c>
      <c r="E822" s="59">
        <v>0.025</v>
      </c>
      <c r="F822" s="59">
        <f>TRUNC(65.7793,2)</f>
        <v>65.77</v>
      </c>
      <c r="G822" s="59">
        <f t="shared" si="42"/>
        <v>1.64</v>
      </c>
    </row>
    <row r="823" spans="1:7" ht="18.75">
      <c r="A823" s="61"/>
      <c r="B823" s="399" t="s">
        <v>989</v>
      </c>
      <c r="C823" s="313" t="s">
        <v>990</v>
      </c>
      <c r="D823" s="59" t="s">
        <v>19</v>
      </c>
      <c r="E823" s="59">
        <v>0.025</v>
      </c>
      <c r="F823" s="59">
        <f>TRUNC(73.0642,2)</f>
        <v>73.06</v>
      </c>
      <c r="G823" s="59">
        <f t="shared" si="42"/>
        <v>1.82</v>
      </c>
    </row>
    <row r="824" spans="1:7" ht="18.75">
      <c r="A824" s="61"/>
      <c r="B824" s="399" t="s">
        <v>991</v>
      </c>
      <c r="C824" s="313" t="s">
        <v>992</v>
      </c>
      <c r="D824" s="59" t="s">
        <v>15</v>
      </c>
      <c r="E824" s="59">
        <v>0.5</v>
      </c>
      <c r="F824" s="59">
        <f>TRUNC(55.5435,2)</f>
        <v>55.54</v>
      </c>
      <c r="G824" s="59">
        <f t="shared" si="42"/>
        <v>27.77</v>
      </c>
    </row>
    <row r="825" spans="1:7" ht="18.75">
      <c r="A825" s="61"/>
      <c r="B825" s="399" t="s">
        <v>993</v>
      </c>
      <c r="C825" s="313" t="s">
        <v>994</v>
      </c>
      <c r="D825" s="59" t="s">
        <v>19</v>
      </c>
      <c r="E825" s="59">
        <v>0.025</v>
      </c>
      <c r="F825" s="59">
        <f>TRUNC(209.7567,2)</f>
        <v>209.75</v>
      </c>
      <c r="G825" s="59">
        <f t="shared" si="42"/>
        <v>5.24</v>
      </c>
    </row>
    <row r="826" spans="1:7" ht="18.75">
      <c r="A826" s="61"/>
      <c r="B826" s="399" t="s">
        <v>995</v>
      </c>
      <c r="C826" s="313" t="s">
        <v>996</v>
      </c>
      <c r="D826" s="59" t="s">
        <v>19</v>
      </c>
      <c r="E826" s="59">
        <v>0.0008</v>
      </c>
      <c r="F826" s="59">
        <f>TRUNC(262.1498,2)</f>
        <v>262.14</v>
      </c>
      <c r="G826" s="59">
        <f t="shared" si="42"/>
        <v>0.2</v>
      </c>
    </row>
    <row r="827" spans="1:7" ht="18.75">
      <c r="A827" s="61"/>
      <c r="B827" s="399"/>
      <c r="C827" s="313"/>
      <c r="D827" s="59"/>
      <c r="E827" s="59" t="s">
        <v>53</v>
      </c>
      <c r="F827" s="59"/>
      <c r="G827" s="59">
        <f>TRUNC(SUM(G821:G826),2)</f>
        <v>38.01</v>
      </c>
    </row>
    <row r="828" spans="1:7" ht="45">
      <c r="A828" s="254" t="s">
        <v>723</v>
      </c>
      <c r="B828" s="141" t="s">
        <v>997</v>
      </c>
      <c r="C828" s="312" t="s">
        <v>35</v>
      </c>
      <c r="D828" s="256" t="s">
        <v>15</v>
      </c>
      <c r="E828" s="256">
        <v>1</v>
      </c>
      <c r="F828" s="256">
        <f>F829</f>
        <v>123.34</v>
      </c>
      <c r="G828" s="256">
        <f aca="true" t="shared" si="43" ref="G828:G836">TRUNC(E828*F828,2)</f>
        <v>123.34</v>
      </c>
    </row>
    <row r="829" spans="1:7" ht="45">
      <c r="A829" s="61"/>
      <c r="B829" s="399" t="s">
        <v>997</v>
      </c>
      <c r="C829" s="313" t="s">
        <v>35</v>
      </c>
      <c r="D829" s="59" t="s">
        <v>15</v>
      </c>
      <c r="E829" s="59">
        <v>1</v>
      </c>
      <c r="F829" s="59">
        <f>G837</f>
        <v>123.34</v>
      </c>
      <c r="G829" s="59">
        <f t="shared" si="43"/>
        <v>123.34</v>
      </c>
    </row>
    <row r="830" spans="1:7" ht="30">
      <c r="A830" s="61"/>
      <c r="B830" s="399" t="s">
        <v>323</v>
      </c>
      <c r="C830" s="313" t="s">
        <v>324</v>
      </c>
      <c r="D830" s="59" t="s">
        <v>15</v>
      </c>
      <c r="E830" s="59">
        <v>1.05</v>
      </c>
      <c r="F830" s="59">
        <f>TRUNC(63,2)</f>
        <v>63</v>
      </c>
      <c r="G830" s="59">
        <f t="shared" si="43"/>
        <v>66.15</v>
      </c>
    </row>
    <row r="831" spans="1:7" ht="18.75">
      <c r="A831" s="61"/>
      <c r="B831" s="399" t="s">
        <v>325</v>
      </c>
      <c r="C831" s="313" t="s">
        <v>326</v>
      </c>
      <c r="D831" s="59" t="s">
        <v>24</v>
      </c>
      <c r="E831" s="59">
        <v>0.1</v>
      </c>
      <c r="F831" s="59">
        <f>TRUNC(34,2)</f>
        <v>34</v>
      </c>
      <c r="G831" s="59">
        <f t="shared" si="43"/>
        <v>3.4</v>
      </c>
    </row>
    <row r="832" spans="1:7" ht="18.75">
      <c r="A832" s="61"/>
      <c r="B832" s="399" t="s">
        <v>160</v>
      </c>
      <c r="C832" s="313" t="s">
        <v>161</v>
      </c>
      <c r="D832" s="59" t="s">
        <v>24</v>
      </c>
      <c r="E832" s="59">
        <v>0.1</v>
      </c>
      <c r="F832" s="59">
        <f>TRUNC(1.84,2)</f>
        <v>1.84</v>
      </c>
      <c r="G832" s="59">
        <f t="shared" si="43"/>
        <v>0.18</v>
      </c>
    </row>
    <row r="833" spans="1:7" ht="18.75">
      <c r="A833" s="61"/>
      <c r="B833" s="399" t="s">
        <v>50</v>
      </c>
      <c r="C833" s="313" t="s">
        <v>51</v>
      </c>
      <c r="D833" s="59" t="s">
        <v>52</v>
      </c>
      <c r="E833" s="59">
        <v>1.1330000000000002</v>
      </c>
      <c r="F833" s="59">
        <f>TRUNC(14.47,2)</f>
        <v>14.47</v>
      </c>
      <c r="G833" s="59">
        <f t="shared" si="43"/>
        <v>16.39</v>
      </c>
    </row>
    <row r="834" spans="1:7" ht="18.75">
      <c r="A834" s="61"/>
      <c r="B834" s="399" t="s">
        <v>925</v>
      </c>
      <c r="C834" s="313" t="s">
        <v>926</v>
      </c>
      <c r="D834" s="59" t="s">
        <v>52</v>
      </c>
      <c r="E834" s="59">
        <v>1.1330000000000002</v>
      </c>
      <c r="F834" s="59">
        <f>TRUNC(21.49,2)</f>
        <v>21.49</v>
      </c>
      <c r="G834" s="59">
        <f t="shared" si="43"/>
        <v>24.34</v>
      </c>
    </row>
    <row r="835" spans="1:7" ht="18.75">
      <c r="A835" s="61"/>
      <c r="B835" s="399" t="s">
        <v>293</v>
      </c>
      <c r="C835" s="313" t="s">
        <v>294</v>
      </c>
      <c r="D835" s="59" t="s">
        <v>19</v>
      </c>
      <c r="E835" s="59">
        <v>0.035</v>
      </c>
      <c r="F835" s="59">
        <f>TRUNC(335.9636,2)</f>
        <v>335.96</v>
      </c>
      <c r="G835" s="59">
        <f t="shared" si="43"/>
        <v>11.75</v>
      </c>
    </row>
    <row r="836" spans="1:7" ht="18.75">
      <c r="A836" s="61"/>
      <c r="B836" s="399" t="s">
        <v>951</v>
      </c>
      <c r="C836" s="313" t="s">
        <v>952</v>
      </c>
      <c r="D836" s="59" t="s">
        <v>19</v>
      </c>
      <c r="E836" s="59">
        <v>0.002</v>
      </c>
      <c r="F836" s="59">
        <f>TRUNC(567.8869,2)</f>
        <v>567.88</v>
      </c>
      <c r="G836" s="59">
        <f t="shared" si="43"/>
        <v>1.13</v>
      </c>
    </row>
    <row r="837" spans="1:7" ht="18.75">
      <c r="A837" s="61"/>
      <c r="B837" s="399"/>
      <c r="C837" s="313"/>
      <c r="D837" s="59"/>
      <c r="E837" s="59" t="s">
        <v>53</v>
      </c>
      <c r="F837" s="59"/>
      <c r="G837" s="59">
        <f>TRUNC(SUM(G830:G836),2)</f>
        <v>123.34</v>
      </c>
    </row>
    <row r="838" spans="1:7" ht="45">
      <c r="A838" s="254" t="s">
        <v>724</v>
      </c>
      <c r="B838" s="141" t="s">
        <v>998</v>
      </c>
      <c r="C838" s="312" t="s">
        <v>327</v>
      </c>
      <c r="D838" s="256" t="s">
        <v>15</v>
      </c>
      <c r="E838" s="256">
        <v>1</v>
      </c>
      <c r="F838" s="256">
        <f>F839</f>
        <v>123.34</v>
      </c>
      <c r="G838" s="256">
        <f aca="true" t="shared" si="44" ref="G838:G846">TRUNC(E838*F838,2)</f>
        <v>123.34</v>
      </c>
    </row>
    <row r="839" spans="1:7" ht="45">
      <c r="A839" s="61"/>
      <c r="B839" s="399" t="s">
        <v>998</v>
      </c>
      <c r="C839" s="313" t="s">
        <v>327</v>
      </c>
      <c r="D839" s="59" t="s">
        <v>15</v>
      </c>
      <c r="E839" s="59">
        <v>1</v>
      </c>
      <c r="F839" s="59">
        <f>G847</f>
        <v>123.34</v>
      </c>
      <c r="G839" s="59">
        <f t="shared" si="44"/>
        <v>123.34</v>
      </c>
    </row>
    <row r="840" spans="1:7" ht="30">
      <c r="A840" s="61"/>
      <c r="B840" s="399" t="s">
        <v>328</v>
      </c>
      <c r="C840" s="313" t="s">
        <v>329</v>
      </c>
      <c r="D840" s="59" t="s">
        <v>15</v>
      </c>
      <c r="E840" s="59">
        <v>1.05</v>
      </c>
      <c r="F840" s="59">
        <f>TRUNC(63,2)</f>
        <v>63</v>
      </c>
      <c r="G840" s="59">
        <f t="shared" si="44"/>
        <v>66.15</v>
      </c>
    </row>
    <row r="841" spans="1:7" ht="18.75">
      <c r="A841" s="61"/>
      <c r="B841" s="399" t="s">
        <v>325</v>
      </c>
      <c r="C841" s="313" t="s">
        <v>326</v>
      </c>
      <c r="D841" s="59" t="s">
        <v>24</v>
      </c>
      <c r="E841" s="59">
        <v>0.1</v>
      </c>
      <c r="F841" s="59">
        <f>TRUNC(34,2)</f>
        <v>34</v>
      </c>
      <c r="G841" s="59">
        <f t="shared" si="44"/>
        <v>3.4</v>
      </c>
    </row>
    <row r="842" spans="1:7" ht="18.75">
      <c r="A842" s="61"/>
      <c r="B842" s="399" t="s">
        <v>160</v>
      </c>
      <c r="C842" s="313" t="s">
        <v>161</v>
      </c>
      <c r="D842" s="59" t="s">
        <v>24</v>
      </c>
      <c r="E842" s="59">
        <v>0.1</v>
      </c>
      <c r="F842" s="59">
        <f>TRUNC(1.84,2)</f>
        <v>1.84</v>
      </c>
      <c r="G842" s="59">
        <f t="shared" si="44"/>
        <v>0.18</v>
      </c>
    </row>
    <row r="843" spans="1:7" ht="18.75">
      <c r="A843" s="61"/>
      <c r="B843" s="399" t="s">
        <v>50</v>
      </c>
      <c r="C843" s="313" t="s">
        <v>51</v>
      </c>
      <c r="D843" s="59" t="s">
        <v>52</v>
      </c>
      <c r="E843" s="59">
        <v>1.1330000000000002</v>
      </c>
      <c r="F843" s="59">
        <f>TRUNC(14.47,2)</f>
        <v>14.47</v>
      </c>
      <c r="G843" s="59">
        <f t="shared" si="44"/>
        <v>16.39</v>
      </c>
    </row>
    <row r="844" spans="1:7" ht="18.75">
      <c r="A844" s="61"/>
      <c r="B844" s="399" t="s">
        <v>925</v>
      </c>
      <c r="C844" s="313" t="s">
        <v>926</v>
      </c>
      <c r="D844" s="59" t="s">
        <v>52</v>
      </c>
      <c r="E844" s="59">
        <v>1.1330000000000002</v>
      </c>
      <c r="F844" s="59">
        <f>TRUNC(21.49,2)</f>
        <v>21.49</v>
      </c>
      <c r="G844" s="59">
        <f t="shared" si="44"/>
        <v>24.34</v>
      </c>
    </row>
    <row r="845" spans="1:7" ht="18.75">
      <c r="A845" s="61"/>
      <c r="B845" s="399" t="s">
        <v>293</v>
      </c>
      <c r="C845" s="313" t="s">
        <v>294</v>
      </c>
      <c r="D845" s="59" t="s">
        <v>19</v>
      </c>
      <c r="E845" s="59">
        <v>0.035</v>
      </c>
      <c r="F845" s="59">
        <f>TRUNC(335.9636,2)</f>
        <v>335.96</v>
      </c>
      <c r="G845" s="59">
        <f t="shared" si="44"/>
        <v>11.75</v>
      </c>
    </row>
    <row r="846" spans="1:7" ht="18.75">
      <c r="A846" s="61"/>
      <c r="B846" s="399" t="s">
        <v>951</v>
      </c>
      <c r="C846" s="313" t="s">
        <v>952</v>
      </c>
      <c r="D846" s="59" t="s">
        <v>19</v>
      </c>
      <c r="E846" s="59">
        <v>0.002</v>
      </c>
      <c r="F846" s="59">
        <f>TRUNC(567.8869,2)</f>
        <v>567.88</v>
      </c>
      <c r="G846" s="59">
        <f t="shared" si="44"/>
        <v>1.13</v>
      </c>
    </row>
    <row r="847" spans="1:7" ht="18.75">
      <c r="A847" s="61"/>
      <c r="B847" s="399"/>
      <c r="C847" s="313"/>
      <c r="D847" s="59"/>
      <c r="E847" s="59" t="s">
        <v>53</v>
      </c>
      <c r="F847" s="59"/>
      <c r="G847" s="59">
        <f>TRUNC(SUM(G840:G846),2)</f>
        <v>123.34</v>
      </c>
    </row>
    <row r="848" spans="1:7" ht="30">
      <c r="A848" s="254" t="s">
        <v>725</v>
      </c>
      <c r="B848" s="141" t="s">
        <v>1083</v>
      </c>
      <c r="C848" s="312" t="s">
        <v>426</v>
      </c>
      <c r="D848" s="256" t="s">
        <v>19</v>
      </c>
      <c r="E848" s="256">
        <v>1</v>
      </c>
      <c r="F848" s="62">
        <f>F864</f>
        <v>447.59999999999997</v>
      </c>
      <c r="G848" s="256">
        <f aca="true" t="shared" si="45" ref="G848:G856">TRUNC(E848*F848,2)</f>
        <v>447.6</v>
      </c>
    </row>
    <row r="849" spans="1:7" ht="30">
      <c r="A849" s="61" t="s">
        <v>1084</v>
      </c>
      <c r="B849" s="399" t="s">
        <v>999</v>
      </c>
      <c r="C849" s="313" t="s">
        <v>426</v>
      </c>
      <c r="D849" s="59" t="s">
        <v>19</v>
      </c>
      <c r="E849" s="59">
        <v>1</v>
      </c>
      <c r="F849" s="401">
        <f>G857</f>
        <v>307.15</v>
      </c>
      <c r="G849" s="59">
        <f t="shared" si="45"/>
        <v>307.15</v>
      </c>
    </row>
    <row r="850" spans="1:7" ht="18.75">
      <c r="A850" s="61"/>
      <c r="B850" s="399" t="s">
        <v>911</v>
      </c>
      <c r="C850" s="313" t="s">
        <v>427</v>
      </c>
      <c r="D850" s="59" t="s">
        <v>19</v>
      </c>
      <c r="E850" s="59">
        <v>0.593</v>
      </c>
      <c r="F850" s="401">
        <f>TRUNC(62.5,2)</f>
        <v>62.5</v>
      </c>
      <c r="G850" s="59">
        <f t="shared" si="45"/>
        <v>37.06</v>
      </c>
    </row>
    <row r="851" spans="1:7" ht="18.75">
      <c r="A851" s="61"/>
      <c r="B851" s="399" t="s">
        <v>912</v>
      </c>
      <c r="C851" s="313" t="s">
        <v>428</v>
      </c>
      <c r="D851" s="59" t="s">
        <v>24</v>
      </c>
      <c r="E851" s="59">
        <v>362.66</v>
      </c>
      <c r="F851" s="401">
        <f>TRUNC(0.41,2)</f>
        <v>0.41</v>
      </c>
      <c r="G851" s="59">
        <f t="shared" si="45"/>
        <v>148.69</v>
      </c>
    </row>
    <row r="852" spans="1:7" ht="18.75">
      <c r="A852" s="61"/>
      <c r="B852" s="399" t="s">
        <v>913</v>
      </c>
      <c r="C852" s="313" t="s">
        <v>429</v>
      </c>
      <c r="D852" s="59" t="s">
        <v>19</v>
      </c>
      <c r="E852" s="59">
        <v>0.751</v>
      </c>
      <c r="F852" s="401">
        <f>TRUNC(51.43,2)</f>
        <v>51.43</v>
      </c>
      <c r="G852" s="59">
        <f t="shared" si="45"/>
        <v>38.62</v>
      </c>
    </row>
    <row r="853" spans="1:7" ht="18.75">
      <c r="A853" s="61"/>
      <c r="B853" s="399" t="s">
        <v>914</v>
      </c>
      <c r="C853" s="313" t="s">
        <v>430</v>
      </c>
      <c r="D853" s="59" t="s">
        <v>52</v>
      </c>
      <c r="E853" s="59">
        <v>1.46</v>
      </c>
      <c r="F853" s="401">
        <f>TRUNC(22.2,2)</f>
        <v>22.2</v>
      </c>
      <c r="G853" s="59">
        <f t="shared" si="45"/>
        <v>32.41</v>
      </c>
    </row>
    <row r="854" spans="1:7" ht="18.75">
      <c r="A854" s="61"/>
      <c r="B854" s="399" t="s">
        <v>54</v>
      </c>
      <c r="C854" s="313" t="s">
        <v>55</v>
      </c>
      <c r="D854" s="59" t="s">
        <v>52</v>
      </c>
      <c r="E854" s="59">
        <v>2.31</v>
      </c>
      <c r="F854" s="401">
        <f>TRUNC(21.24,2)</f>
        <v>21.24</v>
      </c>
      <c r="G854" s="59">
        <f t="shared" si="45"/>
        <v>49.06</v>
      </c>
    </row>
    <row r="855" spans="1:7" ht="30">
      <c r="A855" s="61"/>
      <c r="B855" s="399" t="s">
        <v>915</v>
      </c>
      <c r="C855" s="313" t="s">
        <v>431</v>
      </c>
      <c r="D855" s="59" t="s">
        <v>56</v>
      </c>
      <c r="E855" s="59">
        <v>0.71</v>
      </c>
      <c r="F855" s="401">
        <f>TRUNC(0.31,2)</f>
        <v>0.31</v>
      </c>
      <c r="G855" s="59">
        <f t="shared" si="45"/>
        <v>0.22</v>
      </c>
    </row>
    <row r="856" spans="1:7" ht="30">
      <c r="A856" s="61"/>
      <c r="B856" s="399" t="s">
        <v>916</v>
      </c>
      <c r="C856" s="313" t="s">
        <v>432</v>
      </c>
      <c r="D856" s="59" t="s">
        <v>57</v>
      </c>
      <c r="E856" s="59">
        <v>0.75</v>
      </c>
      <c r="F856" s="401">
        <f>TRUNC(1.46,2)</f>
        <v>1.46</v>
      </c>
      <c r="G856" s="59">
        <f t="shared" si="45"/>
        <v>1.09</v>
      </c>
    </row>
    <row r="857" spans="1:7" ht="18.75">
      <c r="A857" s="61"/>
      <c r="B857" s="399"/>
      <c r="C857" s="313"/>
      <c r="D857" s="59"/>
      <c r="E857" s="59" t="s">
        <v>53</v>
      </c>
      <c r="F857" s="401"/>
      <c r="G857" s="59">
        <f>TRUNC(SUM(G850:G856),2)</f>
        <v>307.15</v>
      </c>
    </row>
    <row r="858" spans="1:7" ht="18.75">
      <c r="A858" s="17"/>
      <c r="B858" s="320"/>
      <c r="C858" s="223"/>
      <c r="D858" s="59"/>
      <c r="E858" s="59"/>
      <c r="F858" s="59"/>
      <c r="G858" s="284"/>
    </row>
    <row r="859" spans="1:7" ht="18.75">
      <c r="A859" s="17" t="s">
        <v>1085</v>
      </c>
      <c r="B859" s="320" t="s">
        <v>917</v>
      </c>
      <c r="C859" s="313" t="s">
        <v>433</v>
      </c>
      <c r="D859" s="59" t="s">
        <v>19</v>
      </c>
      <c r="E859" s="59">
        <v>1</v>
      </c>
      <c r="F859" s="59">
        <f>G863</f>
        <v>140.45</v>
      </c>
      <c r="G859" s="284">
        <f>TRUNC(E859*F859,2)</f>
        <v>140.45</v>
      </c>
    </row>
    <row r="860" spans="1:7" ht="18.75">
      <c r="A860" s="17"/>
      <c r="B860" s="320" t="s">
        <v>54</v>
      </c>
      <c r="C860" s="313" t="s">
        <v>55</v>
      </c>
      <c r="D860" s="59" t="s">
        <v>52</v>
      </c>
      <c r="E860" s="59">
        <v>4.5</v>
      </c>
      <c r="F860" s="59">
        <f>TRUNC(21.24,2)</f>
        <v>21.24</v>
      </c>
      <c r="G860" s="284">
        <f>TRUNC(E860*F860,2)</f>
        <v>95.58</v>
      </c>
    </row>
    <row r="861" spans="1:7" ht="18.75">
      <c r="A861" s="17"/>
      <c r="B861" s="320" t="s">
        <v>118</v>
      </c>
      <c r="C861" s="313" t="s">
        <v>119</v>
      </c>
      <c r="D861" s="59" t="s">
        <v>52</v>
      </c>
      <c r="E861" s="59">
        <v>1.65</v>
      </c>
      <c r="F861" s="59">
        <f>TRUNC(26.95,2)</f>
        <v>26.95</v>
      </c>
      <c r="G861" s="284">
        <f>TRUNC(E861*F861,2)</f>
        <v>44.46</v>
      </c>
    </row>
    <row r="862" spans="1:7" ht="30">
      <c r="A862" s="17"/>
      <c r="B862" s="320" t="s">
        <v>824</v>
      </c>
      <c r="C862" s="313" t="s">
        <v>825</v>
      </c>
      <c r="D862" s="59" t="s">
        <v>57</v>
      </c>
      <c r="E862" s="59">
        <v>0.3</v>
      </c>
      <c r="F862" s="59">
        <f>TRUNC(1.39,2)</f>
        <v>1.39</v>
      </c>
      <c r="G862" s="284">
        <f>TRUNC(E862*F862,2)</f>
        <v>0.41</v>
      </c>
    </row>
    <row r="863" spans="1:7" ht="18.75">
      <c r="A863" s="17"/>
      <c r="B863" s="320"/>
      <c r="C863" s="313"/>
      <c r="D863" s="59"/>
      <c r="E863" s="59" t="s">
        <v>53</v>
      </c>
      <c r="F863" s="59"/>
      <c r="G863" s="284">
        <f>TRUNC(SUM(G860:G862),2)</f>
        <v>140.45</v>
      </c>
    </row>
    <row r="864" spans="1:7" ht="18.75">
      <c r="A864" s="17"/>
      <c r="B864" s="340"/>
      <c r="C864" s="338" t="s">
        <v>434</v>
      </c>
      <c r="D864" s="327"/>
      <c r="E864" s="327"/>
      <c r="F864" s="339">
        <f>F849+F859</f>
        <v>447.59999999999997</v>
      </c>
      <c r="G864" s="328" t="s">
        <v>435</v>
      </c>
    </row>
    <row r="865" spans="1:7" ht="30">
      <c r="A865" s="287" t="s">
        <v>726</v>
      </c>
      <c r="B865" s="402" t="s">
        <v>1000</v>
      </c>
      <c r="C865" s="403" t="s">
        <v>317</v>
      </c>
      <c r="D865" s="360" t="s">
        <v>15</v>
      </c>
      <c r="E865" s="360">
        <v>1.1224</v>
      </c>
      <c r="F865" s="360">
        <f>F866</f>
        <v>18.68</v>
      </c>
      <c r="G865" s="360">
        <f>TRUNC(E865*F865,2)</f>
        <v>20.96</v>
      </c>
    </row>
    <row r="866" spans="1:9" s="3" customFormat="1" ht="30">
      <c r="A866" s="409"/>
      <c r="B866" s="410" t="s">
        <v>316</v>
      </c>
      <c r="C866" s="411" t="s">
        <v>317</v>
      </c>
      <c r="D866" s="412" t="s">
        <v>15</v>
      </c>
      <c r="E866" s="412"/>
      <c r="F866" s="412">
        <v>18.68</v>
      </c>
      <c r="G866" s="413"/>
      <c r="I866" s="2"/>
    </row>
    <row r="867" spans="1:9" s="3" customFormat="1" ht="75">
      <c r="A867" s="404" t="s">
        <v>727</v>
      </c>
      <c r="B867" s="459" t="s">
        <v>841</v>
      </c>
      <c r="C867" s="405" t="s">
        <v>559</v>
      </c>
      <c r="D867" s="406" t="s">
        <v>19</v>
      </c>
      <c r="E867" s="407">
        <v>1</v>
      </c>
      <c r="F867" s="408">
        <f>F868</f>
        <v>1942.94</v>
      </c>
      <c r="G867" s="408">
        <f aca="true" t="shared" si="46" ref="G867:G883">TRUNC(E867*F867,2)</f>
        <v>1942.94</v>
      </c>
      <c r="I867" s="2"/>
    </row>
    <row r="868" spans="1:9" s="3" customFormat="1" ht="75">
      <c r="A868" s="19"/>
      <c r="B868" s="433" t="s">
        <v>841</v>
      </c>
      <c r="C868" s="222" t="s">
        <v>559</v>
      </c>
      <c r="D868" s="20" t="s">
        <v>19</v>
      </c>
      <c r="E868" s="51">
        <v>1</v>
      </c>
      <c r="F868" s="22">
        <f>G884</f>
        <v>1942.94</v>
      </c>
      <c r="G868" s="22">
        <f t="shared" si="46"/>
        <v>1942.94</v>
      </c>
      <c r="I868" s="2"/>
    </row>
    <row r="869" spans="1:9" s="3" customFormat="1" ht="18.75">
      <c r="A869" s="19"/>
      <c r="B869" s="433" t="s">
        <v>366</v>
      </c>
      <c r="C869" s="222" t="s">
        <v>367</v>
      </c>
      <c r="D869" s="20" t="s">
        <v>24</v>
      </c>
      <c r="E869" s="51">
        <v>12</v>
      </c>
      <c r="F869" s="22">
        <f>TRUNC(4.9,2)</f>
        <v>4.9</v>
      </c>
      <c r="G869" s="22">
        <f t="shared" si="46"/>
        <v>58.8</v>
      </c>
      <c r="I869" s="2"/>
    </row>
    <row r="870" spans="1:9" s="3" customFormat="1" ht="18.75">
      <c r="A870" s="19"/>
      <c r="B870" s="433" t="s">
        <v>368</v>
      </c>
      <c r="C870" s="222" t="s">
        <v>369</v>
      </c>
      <c r="D870" s="20" t="s">
        <v>24</v>
      </c>
      <c r="E870" s="51">
        <v>10</v>
      </c>
      <c r="F870" s="22">
        <f>TRUNC(4.95,2)</f>
        <v>4.95</v>
      </c>
      <c r="G870" s="22">
        <f t="shared" si="46"/>
        <v>49.5</v>
      </c>
      <c r="I870" s="2"/>
    </row>
    <row r="871" spans="1:9" s="3" customFormat="1" ht="18.75">
      <c r="A871" s="19"/>
      <c r="B871" s="433" t="s">
        <v>370</v>
      </c>
      <c r="C871" s="222" t="s">
        <v>560</v>
      </c>
      <c r="D871" s="20" t="s">
        <v>19</v>
      </c>
      <c r="E871" s="51">
        <v>1</v>
      </c>
      <c r="F871" s="22">
        <f>TRUNC(280,2)</f>
        <v>280</v>
      </c>
      <c r="G871" s="22">
        <f t="shared" si="46"/>
        <v>280</v>
      </c>
      <c r="I871" s="2"/>
    </row>
    <row r="872" spans="1:9" s="3" customFormat="1" ht="18.75">
      <c r="A872" s="19"/>
      <c r="B872" s="433" t="s">
        <v>371</v>
      </c>
      <c r="C872" s="222" t="s">
        <v>372</v>
      </c>
      <c r="D872" s="20" t="s">
        <v>24</v>
      </c>
      <c r="E872" s="51">
        <v>10</v>
      </c>
      <c r="F872" s="22">
        <f>TRUNC(4.62,2)</f>
        <v>4.62</v>
      </c>
      <c r="G872" s="22">
        <f t="shared" si="46"/>
        <v>46.2</v>
      </c>
      <c r="I872" s="2"/>
    </row>
    <row r="873" spans="1:9" s="3" customFormat="1" ht="18.75">
      <c r="A873" s="19"/>
      <c r="B873" s="433" t="s">
        <v>373</v>
      </c>
      <c r="C873" s="222" t="s">
        <v>374</v>
      </c>
      <c r="D873" s="20" t="s">
        <v>24</v>
      </c>
      <c r="E873" s="51">
        <v>4</v>
      </c>
      <c r="F873" s="22">
        <f>TRUNC(4.49,2)</f>
        <v>4.49</v>
      </c>
      <c r="G873" s="22">
        <f t="shared" si="46"/>
        <v>17.96</v>
      </c>
      <c r="I873" s="2"/>
    </row>
    <row r="874" spans="1:9" s="3" customFormat="1" ht="18.75">
      <c r="A874" s="19"/>
      <c r="B874" s="433" t="s">
        <v>375</v>
      </c>
      <c r="C874" s="222" t="s">
        <v>376</v>
      </c>
      <c r="D874" s="20" t="s">
        <v>24</v>
      </c>
      <c r="E874" s="51">
        <v>12</v>
      </c>
      <c r="F874" s="22">
        <f>TRUNC(4.49,2)</f>
        <v>4.49</v>
      </c>
      <c r="G874" s="22">
        <f t="shared" si="46"/>
        <v>53.88</v>
      </c>
      <c r="I874" s="2"/>
    </row>
    <row r="875" spans="1:9" s="3" customFormat="1" ht="18.75">
      <c r="A875" s="19"/>
      <c r="B875" s="433" t="s">
        <v>377</v>
      </c>
      <c r="C875" s="222" t="s">
        <v>378</v>
      </c>
      <c r="D875" s="20" t="s">
        <v>24</v>
      </c>
      <c r="E875" s="51">
        <v>12</v>
      </c>
      <c r="F875" s="22">
        <f>TRUNC(4.71,2)</f>
        <v>4.71</v>
      </c>
      <c r="G875" s="22">
        <f t="shared" si="46"/>
        <v>56.52</v>
      </c>
      <c r="I875" s="2"/>
    </row>
    <row r="876" spans="1:9" s="3" customFormat="1" ht="18.75">
      <c r="A876" s="19"/>
      <c r="B876" s="433" t="s">
        <v>379</v>
      </c>
      <c r="C876" s="222" t="s">
        <v>380</v>
      </c>
      <c r="D876" s="20" t="s">
        <v>24</v>
      </c>
      <c r="E876" s="51">
        <v>1.8</v>
      </c>
      <c r="F876" s="22">
        <f>TRUNC(6.4,2)</f>
        <v>6.4</v>
      </c>
      <c r="G876" s="22">
        <f t="shared" si="46"/>
        <v>11.52</v>
      </c>
      <c r="I876" s="2"/>
    </row>
    <row r="877" spans="1:9" s="3" customFormat="1" ht="18.75">
      <c r="A877" s="19"/>
      <c r="B877" s="433" t="s">
        <v>50</v>
      </c>
      <c r="C877" s="222" t="s">
        <v>51</v>
      </c>
      <c r="D877" s="20" t="s">
        <v>52</v>
      </c>
      <c r="E877" s="51">
        <v>9.4245</v>
      </c>
      <c r="F877" s="22">
        <f>TRUNC(14.47,2)</f>
        <v>14.47</v>
      </c>
      <c r="G877" s="22">
        <f t="shared" si="46"/>
        <v>136.37</v>
      </c>
      <c r="I877" s="2"/>
    </row>
    <row r="878" spans="1:9" s="3" customFormat="1" ht="18.75">
      <c r="A878" s="19"/>
      <c r="B878" s="433" t="s">
        <v>842</v>
      </c>
      <c r="C878" s="222" t="s">
        <v>843</v>
      </c>
      <c r="D878" s="20" t="s">
        <v>52</v>
      </c>
      <c r="E878" s="51">
        <v>6.3345</v>
      </c>
      <c r="F878" s="22">
        <f>TRUNC(19.97,2)</f>
        <v>19.97</v>
      </c>
      <c r="G878" s="22">
        <f t="shared" si="46"/>
        <v>126.49</v>
      </c>
      <c r="I878" s="2"/>
    </row>
    <row r="879" spans="1:9" s="3" customFormat="1" ht="18.75">
      <c r="A879" s="19"/>
      <c r="B879" s="433" t="s">
        <v>815</v>
      </c>
      <c r="C879" s="222" t="s">
        <v>816</v>
      </c>
      <c r="D879" s="20" t="s">
        <v>52</v>
      </c>
      <c r="E879" s="51">
        <v>0.515</v>
      </c>
      <c r="F879" s="22">
        <f>TRUNC(19.97,2)</f>
        <v>19.97</v>
      </c>
      <c r="G879" s="22">
        <f t="shared" si="46"/>
        <v>10.28</v>
      </c>
      <c r="I879" s="2"/>
    </row>
    <row r="880" spans="1:9" s="3" customFormat="1" ht="18.75">
      <c r="A880" s="19"/>
      <c r="B880" s="433" t="s">
        <v>794</v>
      </c>
      <c r="C880" s="222" t="s">
        <v>795</v>
      </c>
      <c r="D880" s="20" t="s">
        <v>52</v>
      </c>
      <c r="E880" s="51">
        <v>0.515</v>
      </c>
      <c r="F880" s="22">
        <f>TRUNC(19.97,2)</f>
        <v>19.97</v>
      </c>
      <c r="G880" s="22">
        <f t="shared" si="46"/>
        <v>10.28</v>
      </c>
      <c r="I880" s="2"/>
    </row>
    <row r="881" spans="1:9" s="3" customFormat="1" ht="18.75">
      <c r="A881" s="19"/>
      <c r="B881" s="433" t="s">
        <v>844</v>
      </c>
      <c r="C881" s="222" t="s">
        <v>845</v>
      </c>
      <c r="D881" s="20" t="s">
        <v>15</v>
      </c>
      <c r="E881" s="51">
        <v>14</v>
      </c>
      <c r="F881" s="22">
        <f>TRUNC(77.4724,2)</f>
        <v>77.47</v>
      </c>
      <c r="G881" s="22">
        <f t="shared" si="46"/>
        <v>1084.58</v>
      </c>
      <c r="I881" s="2"/>
    </row>
    <row r="882" spans="1:9" s="3" customFormat="1" ht="18.75">
      <c r="A882" s="19"/>
      <c r="B882" s="433" t="s">
        <v>846</v>
      </c>
      <c r="C882" s="222" t="s">
        <v>847</v>
      </c>
      <c r="D882" s="20" t="s">
        <v>52</v>
      </c>
      <c r="E882" s="51">
        <v>0.805</v>
      </c>
      <c r="F882" s="22">
        <f>TRUNC(0.221,2)</f>
        <v>0.22</v>
      </c>
      <c r="G882" s="22">
        <f t="shared" si="46"/>
        <v>0.17</v>
      </c>
      <c r="I882" s="2"/>
    </row>
    <row r="883" spans="1:9" s="3" customFormat="1" ht="18.75">
      <c r="A883" s="19"/>
      <c r="B883" s="433" t="s">
        <v>848</v>
      </c>
      <c r="C883" s="222" t="s">
        <v>849</v>
      </c>
      <c r="D883" s="20" t="s">
        <v>52</v>
      </c>
      <c r="E883" s="51">
        <v>0.345</v>
      </c>
      <c r="F883" s="22">
        <f>TRUNC(1.1446,2)</f>
        <v>1.14</v>
      </c>
      <c r="G883" s="22">
        <f t="shared" si="46"/>
        <v>0.39</v>
      </c>
      <c r="I883" s="2"/>
    </row>
    <row r="884" spans="1:9" s="3" customFormat="1" ht="18.75">
      <c r="A884" s="19"/>
      <c r="B884" s="433"/>
      <c r="C884" s="222"/>
      <c r="D884" s="20"/>
      <c r="E884" s="51" t="s">
        <v>53</v>
      </c>
      <c r="F884" s="22"/>
      <c r="G884" s="22">
        <f>TRUNC(SUM(G869:G883),2)</f>
        <v>1942.94</v>
      </c>
      <c r="I884" s="2"/>
    </row>
    <row r="885" spans="1:7" ht="30">
      <c r="A885" s="28" t="s">
        <v>728</v>
      </c>
      <c r="B885" s="141" t="s">
        <v>1001</v>
      </c>
      <c r="C885" s="312" t="s">
        <v>569</v>
      </c>
      <c r="D885" s="256" t="s">
        <v>19</v>
      </c>
      <c r="E885" s="256">
        <v>1</v>
      </c>
      <c r="F885" s="256">
        <f>F886</f>
        <v>2280.07</v>
      </c>
      <c r="G885" s="256">
        <f aca="true" t="shared" si="47" ref="G885:G890">TRUNC(E885*F885,2)</f>
        <v>2280.07</v>
      </c>
    </row>
    <row r="886" spans="1:7" ht="30">
      <c r="A886" s="25"/>
      <c r="B886" s="399" t="s">
        <v>1001</v>
      </c>
      <c r="C886" s="313" t="s">
        <v>569</v>
      </c>
      <c r="D886" s="59" t="s">
        <v>19</v>
      </c>
      <c r="E886" s="59">
        <v>1</v>
      </c>
      <c r="F886" s="59">
        <f>G891</f>
        <v>2280.07</v>
      </c>
      <c r="G886" s="59">
        <f t="shared" si="47"/>
        <v>2280.07</v>
      </c>
    </row>
    <row r="887" spans="1:7" ht="18.75">
      <c r="A887" s="25"/>
      <c r="B887" s="399" t="s">
        <v>452</v>
      </c>
      <c r="C887" s="313" t="s">
        <v>453</v>
      </c>
      <c r="D887" s="59" t="s">
        <v>454</v>
      </c>
      <c r="E887" s="59">
        <v>0.781</v>
      </c>
      <c r="F887" s="59">
        <f>TRUNC(54.01,2)</f>
        <v>54.01</v>
      </c>
      <c r="G887" s="59">
        <f t="shared" si="47"/>
        <v>42.18</v>
      </c>
    </row>
    <row r="888" spans="1:7" ht="18.75">
      <c r="A888" s="25"/>
      <c r="B888" s="399" t="s">
        <v>455</v>
      </c>
      <c r="C888" s="313" t="s">
        <v>456</v>
      </c>
      <c r="D888" s="59" t="s">
        <v>24</v>
      </c>
      <c r="E888" s="59">
        <v>1725</v>
      </c>
      <c r="F888" s="59">
        <f>TRUNC(1.16,2)</f>
        <v>1.16</v>
      </c>
      <c r="G888" s="59">
        <f t="shared" si="47"/>
        <v>2001</v>
      </c>
    </row>
    <row r="889" spans="1:7" ht="18.75">
      <c r="A889" s="25"/>
      <c r="B889" s="399" t="s">
        <v>1002</v>
      </c>
      <c r="C889" s="313" t="s">
        <v>1003</v>
      </c>
      <c r="D889" s="59" t="s">
        <v>19</v>
      </c>
      <c r="E889" s="59">
        <v>1</v>
      </c>
      <c r="F889" s="59">
        <f>TRUNC(138.6872,2)</f>
        <v>138.68</v>
      </c>
      <c r="G889" s="59">
        <f t="shared" si="47"/>
        <v>138.68</v>
      </c>
    </row>
    <row r="890" spans="1:7" ht="18.75">
      <c r="A890" s="25"/>
      <c r="B890" s="399" t="s">
        <v>1004</v>
      </c>
      <c r="C890" s="313" t="s">
        <v>1005</v>
      </c>
      <c r="D890" s="59" t="s">
        <v>19</v>
      </c>
      <c r="E890" s="59">
        <v>1</v>
      </c>
      <c r="F890" s="59">
        <f>TRUNC(98.2131,2)</f>
        <v>98.21</v>
      </c>
      <c r="G890" s="59">
        <f t="shared" si="47"/>
        <v>98.21</v>
      </c>
    </row>
    <row r="891" spans="1:7" ht="18.75">
      <c r="A891" s="25"/>
      <c r="B891" s="399"/>
      <c r="C891" s="313"/>
      <c r="D891" s="59"/>
      <c r="E891" s="59" t="s">
        <v>53</v>
      </c>
      <c r="F891" s="59"/>
      <c r="G891" s="59">
        <f>TRUNC(SUM(G887:G890),2)</f>
        <v>2280.07</v>
      </c>
    </row>
    <row r="892" spans="1:7" ht="18.75">
      <c r="A892" s="25"/>
      <c r="B892" s="399"/>
      <c r="C892" s="313"/>
      <c r="D892" s="59"/>
      <c r="E892" s="59"/>
      <c r="F892" s="59"/>
      <c r="G892" s="59"/>
    </row>
    <row r="893" spans="1:7" ht="18.75">
      <c r="A893" s="28" t="s">
        <v>729</v>
      </c>
      <c r="B893" s="141" t="s">
        <v>1006</v>
      </c>
      <c r="C893" s="312" t="s">
        <v>333</v>
      </c>
      <c r="D893" s="256" t="s">
        <v>19</v>
      </c>
      <c r="E893" s="256">
        <v>1</v>
      </c>
      <c r="F893" s="256">
        <f>TRUNC(108,2)</f>
        <v>108</v>
      </c>
      <c r="G893" s="256">
        <f>TRUNC(E893*F893,2)</f>
        <v>108</v>
      </c>
    </row>
    <row r="894" spans="1:7" ht="18.75">
      <c r="A894" s="17"/>
      <c r="B894" s="315" t="s">
        <v>334</v>
      </c>
      <c r="C894" s="313" t="s">
        <v>335</v>
      </c>
      <c r="D894" s="52" t="s">
        <v>19</v>
      </c>
      <c r="E894" s="52">
        <v>1</v>
      </c>
      <c r="F894" s="52">
        <v>108</v>
      </c>
      <c r="G894" s="52">
        <f>TRUNC(E894*F894,2)</f>
        <v>108</v>
      </c>
    </row>
    <row r="895" spans="1:7" ht="18.75">
      <c r="A895" s="17"/>
      <c r="B895" s="315"/>
      <c r="C895" s="313"/>
      <c r="D895" s="52"/>
      <c r="E895" s="52" t="s">
        <v>53</v>
      </c>
      <c r="F895" s="52"/>
      <c r="G895" s="52">
        <f>TRUNC(SUM(G894:G894),2)</f>
        <v>108</v>
      </c>
    </row>
    <row r="896" spans="1:7" ht="18.75">
      <c r="A896" s="17"/>
      <c r="B896" s="315"/>
      <c r="C896" s="223"/>
      <c r="D896" s="52"/>
      <c r="E896" s="52"/>
      <c r="F896" s="52"/>
      <c r="G896" s="52"/>
    </row>
    <row r="897" spans="1:7" ht="30">
      <c r="A897" s="28" t="s">
        <v>730</v>
      </c>
      <c r="B897" s="141" t="s">
        <v>1007</v>
      </c>
      <c r="C897" s="312" t="s">
        <v>588</v>
      </c>
      <c r="D897" s="256" t="s">
        <v>15</v>
      </c>
      <c r="E897" s="256">
        <v>1</v>
      </c>
      <c r="F897" s="256">
        <f>F898</f>
        <v>8.47</v>
      </c>
      <c r="G897" s="256">
        <f>TRUNC(E897*F897,2)</f>
        <v>8.47</v>
      </c>
    </row>
    <row r="898" spans="1:7" ht="45">
      <c r="A898" s="25"/>
      <c r="B898" s="399" t="s">
        <v>1007</v>
      </c>
      <c r="C898" s="313" t="s">
        <v>330</v>
      </c>
      <c r="D898" s="59" t="s">
        <v>15</v>
      </c>
      <c r="E898" s="59">
        <v>1</v>
      </c>
      <c r="F898" s="59">
        <f>G901</f>
        <v>8.47</v>
      </c>
      <c r="G898" s="59">
        <f>TRUNC(E898*F898,2)</f>
        <v>8.47</v>
      </c>
    </row>
    <row r="899" spans="1:7" ht="18.75">
      <c r="A899" s="25"/>
      <c r="B899" s="399" t="s">
        <v>331</v>
      </c>
      <c r="C899" s="313" t="s">
        <v>332</v>
      </c>
      <c r="D899" s="59" t="s">
        <v>15</v>
      </c>
      <c r="E899" s="59">
        <v>1.02</v>
      </c>
      <c r="F899" s="59">
        <f>TRUNC(4.5,2)</f>
        <v>4.5</v>
      </c>
      <c r="G899" s="59">
        <f>TRUNC(E899*F899,2)</f>
        <v>4.59</v>
      </c>
    </row>
    <row r="900" spans="1:7" ht="30">
      <c r="A900" s="25"/>
      <c r="B900" s="399" t="s">
        <v>589</v>
      </c>
      <c r="C900" s="313" t="s">
        <v>590</v>
      </c>
      <c r="D900" s="59" t="s">
        <v>52</v>
      </c>
      <c r="E900" s="59">
        <v>0.3605</v>
      </c>
      <c r="F900" s="59">
        <f>TRUNC(10.78,2)</f>
        <v>10.78</v>
      </c>
      <c r="G900" s="59">
        <f>TRUNC(E900*F900,2)</f>
        <v>3.88</v>
      </c>
    </row>
    <row r="901" spans="1:7" ht="18.75">
      <c r="A901" s="25"/>
      <c r="B901" s="399"/>
      <c r="C901" s="313"/>
      <c r="D901" s="59"/>
      <c r="E901" s="59" t="s">
        <v>53</v>
      </c>
      <c r="F901" s="59"/>
      <c r="G901" s="59">
        <f>TRUNC(SUM(G899:G900),2)</f>
        <v>8.47</v>
      </c>
    </row>
    <row r="902" spans="1:7" ht="18.75">
      <c r="A902" s="28" t="s">
        <v>731</v>
      </c>
      <c r="B902" s="97"/>
      <c r="C902" s="237" t="s">
        <v>36</v>
      </c>
      <c r="D902" s="15"/>
      <c r="E902" s="15"/>
      <c r="F902" s="15"/>
      <c r="G902" s="15"/>
    </row>
    <row r="903" spans="1:7" ht="60">
      <c r="A903" s="254" t="s">
        <v>732</v>
      </c>
      <c r="B903" s="141" t="s">
        <v>1008</v>
      </c>
      <c r="C903" s="312" t="s">
        <v>591</v>
      </c>
      <c r="D903" s="256" t="s">
        <v>18</v>
      </c>
      <c r="E903" s="62">
        <v>1</v>
      </c>
      <c r="F903" s="62">
        <f>F904</f>
        <v>20.98</v>
      </c>
      <c r="G903" s="62">
        <f aca="true" t="shared" si="48" ref="G903:G910">TRUNC(E903*F903,2)</f>
        <v>20.98</v>
      </c>
    </row>
    <row r="904" spans="1:7" ht="60">
      <c r="A904" s="61"/>
      <c r="B904" s="399" t="s">
        <v>1008</v>
      </c>
      <c r="C904" s="313" t="s">
        <v>214</v>
      </c>
      <c r="D904" s="59" t="s">
        <v>18</v>
      </c>
      <c r="E904" s="401">
        <v>1</v>
      </c>
      <c r="F904" s="401">
        <f>G911</f>
        <v>20.98</v>
      </c>
      <c r="G904" s="401">
        <f t="shared" si="48"/>
        <v>20.98</v>
      </c>
    </row>
    <row r="905" spans="1:7" ht="18.75">
      <c r="A905" s="61"/>
      <c r="B905" s="399" t="s">
        <v>208</v>
      </c>
      <c r="C905" s="313" t="s">
        <v>209</v>
      </c>
      <c r="D905" s="59" t="s">
        <v>24</v>
      </c>
      <c r="E905" s="401">
        <v>1.5</v>
      </c>
      <c r="F905" s="401">
        <f>TRUNC(0.52,2)</f>
        <v>0.52</v>
      </c>
      <c r="G905" s="401">
        <f t="shared" si="48"/>
        <v>0.78</v>
      </c>
    </row>
    <row r="906" spans="1:7" ht="18.75">
      <c r="A906" s="61"/>
      <c r="B906" s="399" t="s">
        <v>164</v>
      </c>
      <c r="C906" s="313" t="s">
        <v>778</v>
      </c>
      <c r="D906" s="59" t="s">
        <v>24</v>
      </c>
      <c r="E906" s="401">
        <v>1.5</v>
      </c>
      <c r="F906" s="401">
        <f>TRUNC(0.347,2)</f>
        <v>0.34</v>
      </c>
      <c r="G906" s="401">
        <f t="shared" si="48"/>
        <v>0.51</v>
      </c>
    </row>
    <row r="907" spans="1:7" ht="18.75">
      <c r="A907" s="61"/>
      <c r="B907" s="399" t="s">
        <v>50</v>
      </c>
      <c r="C907" s="313" t="s">
        <v>51</v>
      </c>
      <c r="D907" s="59" t="s">
        <v>52</v>
      </c>
      <c r="E907" s="401">
        <v>0.41200000000000003</v>
      </c>
      <c r="F907" s="401">
        <f>TRUNC(14.47,2)</f>
        <v>14.47</v>
      </c>
      <c r="G907" s="401">
        <f t="shared" si="48"/>
        <v>5.96</v>
      </c>
    </row>
    <row r="908" spans="1:7" ht="18.75">
      <c r="A908" s="61"/>
      <c r="B908" s="399" t="s">
        <v>968</v>
      </c>
      <c r="C908" s="313" t="s">
        <v>969</v>
      </c>
      <c r="D908" s="59" t="s">
        <v>52</v>
      </c>
      <c r="E908" s="401">
        <v>0.6695000000000001</v>
      </c>
      <c r="F908" s="401">
        <f>TRUNC(19.97,2)</f>
        <v>19.97</v>
      </c>
      <c r="G908" s="401">
        <f t="shared" si="48"/>
        <v>13.36</v>
      </c>
    </row>
    <row r="909" spans="1:7" ht="18.75">
      <c r="A909" s="61"/>
      <c r="B909" s="399" t="s">
        <v>210</v>
      </c>
      <c r="C909" s="313" t="s">
        <v>211</v>
      </c>
      <c r="D909" s="59" t="s">
        <v>21</v>
      </c>
      <c r="E909" s="401">
        <v>0.01</v>
      </c>
      <c r="F909" s="401">
        <f>TRUNC(17.01,2)</f>
        <v>17.01</v>
      </c>
      <c r="G909" s="401">
        <f t="shared" si="48"/>
        <v>0.17</v>
      </c>
    </row>
    <row r="910" spans="1:7" ht="18.75">
      <c r="A910" s="61"/>
      <c r="B910" s="399" t="s">
        <v>212</v>
      </c>
      <c r="C910" s="313" t="s">
        <v>213</v>
      </c>
      <c r="D910" s="59" t="s">
        <v>21</v>
      </c>
      <c r="E910" s="401">
        <v>0.012</v>
      </c>
      <c r="F910" s="401">
        <f>TRUNC(17.01,2)</f>
        <v>17.01</v>
      </c>
      <c r="G910" s="401">
        <f t="shared" si="48"/>
        <v>0.2</v>
      </c>
    </row>
    <row r="911" spans="1:7" ht="18.75">
      <c r="A911" s="61"/>
      <c r="B911" s="399"/>
      <c r="C911" s="313"/>
      <c r="D911" s="59"/>
      <c r="E911" s="401" t="s">
        <v>53</v>
      </c>
      <c r="F911" s="401"/>
      <c r="G911" s="401">
        <f>TRUNC(SUM(G905:G910),2)</f>
        <v>20.98</v>
      </c>
    </row>
    <row r="912" spans="1:7" ht="18.75">
      <c r="A912" s="254" t="s">
        <v>733</v>
      </c>
      <c r="B912" s="139" t="s">
        <v>1008</v>
      </c>
      <c r="C912" s="322" t="s">
        <v>385</v>
      </c>
      <c r="D912" s="256" t="s">
        <v>597</v>
      </c>
      <c r="E912" s="62">
        <v>9</v>
      </c>
      <c r="F912" s="62">
        <f>F913</f>
        <v>20.98</v>
      </c>
      <c r="G912" s="62">
        <f>E912*F912</f>
        <v>188.82</v>
      </c>
    </row>
    <row r="913" spans="1:7" ht="60">
      <c r="A913" s="53"/>
      <c r="B913" s="315" t="s">
        <v>1008</v>
      </c>
      <c r="C913" s="313" t="s">
        <v>214</v>
      </c>
      <c r="D913" s="52" t="s">
        <v>18</v>
      </c>
      <c r="E913" s="321">
        <v>1</v>
      </c>
      <c r="F913" s="321">
        <f>G920</f>
        <v>20.98</v>
      </c>
      <c r="G913" s="321">
        <f aca="true" t="shared" si="49" ref="G913:G919">TRUNC(E913*F913,2)</f>
        <v>20.98</v>
      </c>
    </row>
    <row r="914" spans="1:7" ht="18.75">
      <c r="A914" s="53"/>
      <c r="B914" s="315" t="s">
        <v>208</v>
      </c>
      <c r="C914" s="313" t="s">
        <v>209</v>
      </c>
      <c r="D914" s="52" t="s">
        <v>24</v>
      </c>
      <c r="E914" s="321">
        <v>1.5</v>
      </c>
      <c r="F914" s="321">
        <f>TRUNC(0.52,2)</f>
        <v>0.52</v>
      </c>
      <c r="G914" s="321">
        <f t="shared" si="49"/>
        <v>0.78</v>
      </c>
    </row>
    <row r="915" spans="1:7" ht="18.75">
      <c r="A915" s="53"/>
      <c r="B915" s="315" t="s">
        <v>164</v>
      </c>
      <c r="C915" s="313" t="s">
        <v>778</v>
      </c>
      <c r="D915" s="52" t="s">
        <v>24</v>
      </c>
      <c r="E915" s="321">
        <v>1.5</v>
      </c>
      <c r="F915" s="321">
        <f>TRUNC(0.347,2)</f>
        <v>0.34</v>
      </c>
      <c r="G915" s="321">
        <f t="shared" si="49"/>
        <v>0.51</v>
      </c>
    </row>
    <row r="916" spans="1:7" ht="18.75">
      <c r="A916" s="53"/>
      <c r="B916" s="315" t="s">
        <v>50</v>
      </c>
      <c r="C916" s="313" t="s">
        <v>51</v>
      </c>
      <c r="D916" s="52" t="s">
        <v>52</v>
      </c>
      <c r="E916" s="321">
        <v>0.41200000000000003</v>
      </c>
      <c r="F916" s="321">
        <f>TRUNC(14.47,2)</f>
        <v>14.47</v>
      </c>
      <c r="G916" s="321">
        <f t="shared" si="49"/>
        <v>5.96</v>
      </c>
    </row>
    <row r="917" spans="1:7" ht="18.75">
      <c r="A917" s="53"/>
      <c r="B917" s="315" t="s">
        <v>968</v>
      </c>
      <c r="C917" s="313" t="s">
        <v>969</v>
      </c>
      <c r="D917" s="52" t="s">
        <v>52</v>
      </c>
      <c r="E917" s="321">
        <v>0.6695000000000001</v>
      </c>
      <c r="F917" s="321">
        <f>TRUNC(19.97,2)</f>
        <v>19.97</v>
      </c>
      <c r="G917" s="321">
        <f t="shared" si="49"/>
        <v>13.36</v>
      </c>
    </row>
    <row r="918" spans="1:7" ht="18.75">
      <c r="A918" s="53"/>
      <c r="B918" s="315" t="s">
        <v>210</v>
      </c>
      <c r="C918" s="313" t="s">
        <v>211</v>
      </c>
      <c r="D918" s="52" t="s">
        <v>21</v>
      </c>
      <c r="E918" s="321">
        <v>0.01</v>
      </c>
      <c r="F918" s="321">
        <f>TRUNC(17.01,2)</f>
        <v>17.01</v>
      </c>
      <c r="G918" s="321">
        <f t="shared" si="49"/>
        <v>0.17</v>
      </c>
    </row>
    <row r="919" spans="1:7" ht="18.75">
      <c r="A919" s="53"/>
      <c r="B919" s="315" t="s">
        <v>212</v>
      </c>
      <c r="C919" s="313" t="s">
        <v>213</v>
      </c>
      <c r="D919" s="52" t="s">
        <v>21</v>
      </c>
      <c r="E919" s="321">
        <v>0.012</v>
      </c>
      <c r="F919" s="321">
        <f>TRUNC(17.01,2)</f>
        <v>17.01</v>
      </c>
      <c r="G919" s="321">
        <f t="shared" si="49"/>
        <v>0.2</v>
      </c>
    </row>
    <row r="920" spans="1:7" ht="18.75">
      <c r="A920" s="53"/>
      <c r="B920" s="315"/>
      <c r="C920" s="313"/>
      <c r="D920" s="52"/>
      <c r="E920" s="321" t="s">
        <v>53</v>
      </c>
      <c r="F920" s="321"/>
      <c r="G920" s="321">
        <f>TRUNC(SUM(G914:G919),2)</f>
        <v>20.98</v>
      </c>
    </row>
    <row r="921" spans="1:7" ht="18.75">
      <c r="A921" s="28" t="s">
        <v>734</v>
      </c>
      <c r="B921" s="109" t="s">
        <v>1086</v>
      </c>
      <c r="C921" s="277" t="s">
        <v>386</v>
      </c>
      <c r="D921" s="15" t="s">
        <v>597</v>
      </c>
      <c r="E921" s="8"/>
      <c r="F921" s="8">
        <f>G922</f>
        <v>19.26</v>
      </c>
      <c r="G921" s="8"/>
    </row>
    <row r="922" spans="1:7" ht="45">
      <c r="A922" s="17"/>
      <c r="B922" s="165" t="s">
        <v>1010</v>
      </c>
      <c r="C922" s="57" t="s">
        <v>1009</v>
      </c>
      <c r="D922" s="2" t="s">
        <v>15</v>
      </c>
      <c r="E922" s="558">
        <v>0.15</v>
      </c>
      <c r="F922" s="9">
        <f>TRUNC(128.40871,2)</f>
        <v>128.4</v>
      </c>
      <c r="G922" s="559">
        <f>TRUNC(E922*F922,2)</f>
        <v>19.26</v>
      </c>
    </row>
    <row r="923" spans="1:7" ht="45">
      <c r="A923" s="17"/>
      <c r="B923" s="165" t="s">
        <v>1010</v>
      </c>
      <c r="C923" s="57" t="s">
        <v>1009</v>
      </c>
      <c r="D923" s="2" t="s">
        <v>15</v>
      </c>
      <c r="E923" s="9">
        <v>1</v>
      </c>
      <c r="F923" s="9">
        <f>G931</f>
        <v>128.2</v>
      </c>
      <c r="G923" s="9">
        <f aca="true" t="shared" si="50" ref="G923:G930">TRUNC(E923*F923,2)</f>
        <v>128.2</v>
      </c>
    </row>
    <row r="924" spans="1:7" ht="18.75">
      <c r="A924" s="17"/>
      <c r="B924" s="165" t="s">
        <v>208</v>
      </c>
      <c r="C924" s="57" t="s">
        <v>209</v>
      </c>
      <c r="D924" s="2" t="s">
        <v>24</v>
      </c>
      <c r="E924" s="9">
        <v>10</v>
      </c>
      <c r="F924" s="9">
        <f>TRUNC(0.52,2)</f>
        <v>0.52</v>
      </c>
      <c r="G924" s="9">
        <f t="shared" si="50"/>
        <v>5.2</v>
      </c>
    </row>
    <row r="925" spans="1:7" ht="18.75">
      <c r="A925" s="17"/>
      <c r="B925" s="165" t="s">
        <v>164</v>
      </c>
      <c r="C925" s="57" t="s">
        <v>778</v>
      </c>
      <c r="D925" s="2" t="s">
        <v>24</v>
      </c>
      <c r="E925" s="9">
        <v>24.6</v>
      </c>
      <c r="F925" s="9">
        <f>TRUNC(0.347,2)</f>
        <v>0.34</v>
      </c>
      <c r="G925" s="9">
        <f t="shared" si="50"/>
        <v>8.36</v>
      </c>
    </row>
    <row r="926" spans="1:7" ht="18.75">
      <c r="A926" s="17"/>
      <c r="B926" s="165" t="s">
        <v>65</v>
      </c>
      <c r="C926" s="57" t="s">
        <v>66</v>
      </c>
      <c r="D926" s="2" t="s">
        <v>24</v>
      </c>
      <c r="E926" s="9">
        <v>2.4</v>
      </c>
      <c r="F926" s="9">
        <f>TRUNC(4.02,2)</f>
        <v>4.02</v>
      </c>
      <c r="G926" s="9">
        <f t="shared" si="50"/>
        <v>9.64</v>
      </c>
    </row>
    <row r="927" spans="1:7" ht="18.75">
      <c r="A927" s="17"/>
      <c r="B927" s="165" t="s">
        <v>165</v>
      </c>
      <c r="C927" s="57" t="s">
        <v>166</v>
      </c>
      <c r="D927" s="2" t="s">
        <v>19</v>
      </c>
      <c r="E927" s="9">
        <v>0.034</v>
      </c>
      <c r="F927" s="9">
        <f>TRUNC(56,2)</f>
        <v>56</v>
      </c>
      <c r="G927" s="9">
        <f t="shared" si="50"/>
        <v>1.9</v>
      </c>
    </row>
    <row r="928" spans="1:7" ht="18.75">
      <c r="A928" s="17"/>
      <c r="B928" s="165" t="s">
        <v>50</v>
      </c>
      <c r="C928" s="57" t="s">
        <v>51</v>
      </c>
      <c r="D928" s="2" t="s">
        <v>52</v>
      </c>
      <c r="E928" s="9">
        <v>2.1938999999999997</v>
      </c>
      <c r="F928" s="9">
        <f>TRUNC(14.47,2)</f>
        <v>14.47</v>
      </c>
      <c r="G928" s="9">
        <f t="shared" si="50"/>
        <v>31.74</v>
      </c>
    </row>
    <row r="929" spans="1:7" ht="18.75">
      <c r="A929" s="17"/>
      <c r="B929" s="165" t="s">
        <v>968</v>
      </c>
      <c r="C929" s="57" t="s">
        <v>969</v>
      </c>
      <c r="D929" s="2" t="s">
        <v>52</v>
      </c>
      <c r="E929" s="9">
        <v>1.751</v>
      </c>
      <c r="F929" s="9">
        <f>TRUNC(19.97,2)</f>
        <v>19.97</v>
      </c>
      <c r="G929" s="9">
        <f t="shared" si="50"/>
        <v>34.96</v>
      </c>
    </row>
    <row r="930" spans="1:7" ht="18.75">
      <c r="A930" s="17"/>
      <c r="B930" s="165" t="s">
        <v>794</v>
      </c>
      <c r="C930" s="57" t="s">
        <v>795</v>
      </c>
      <c r="D930" s="2" t="s">
        <v>52</v>
      </c>
      <c r="E930" s="9">
        <v>1.8231000000000002</v>
      </c>
      <c r="F930" s="9">
        <f>TRUNC(19.97,2)</f>
        <v>19.97</v>
      </c>
      <c r="G930" s="9">
        <f t="shared" si="50"/>
        <v>36.4</v>
      </c>
    </row>
    <row r="931" spans="1:7" ht="18.75">
      <c r="A931" s="17"/>
      <c r="C931" s="57"/>
      <c r="E931" s="9" t="s">
        <v>53</v>
      </c>
      <c r="F931" s="9"/>
      <c r="G931" s="9">
        <f>TRUNC(SUM(G924:G930),2)</f>
        <v>128.2</v>
      </c>
    </row>
    <row r="932" spans="1:7" ht="45">
      <c r="A932" s="254" t="s">
        <v>735</v>
      </c>
      <c r="B932" s="141" t="s">
        <v>1011</v>
      </c>
      <c r="C932" s="312" t="s">
        <v>592</v>
      </c>
      <c r="D932" s="256" t="s">
        <v>18</v>
      </c>
      <c r="E932" s="62">
        <v>1</v>
      </c>
      <c r="F932" s="62">
        <f>F933</f>
        <v>49.71</v>
      </c>
      <c r="G932" s="62">
        <f aca="true" t="shared" si="51" ref="G932:G939">TRUNC(E932*F932,2)</f>
        <v>49.71</v>
      </c>
    </row>
    <row r="933" spans="1:7" ht="60">
      <c r="A933" s="61"/>
      <c r="B933" s="399" t="s">
        <v>1011</v>
      </c>
      <c r="C933" s="313" t="s">
        <v>215</v>
      </c>
      <c r="D933" s="59" t="s">
        <v>18</v>
      </c>
      <c r="E933" s="401">
        <v>1</v>
      </c>
      <c r="F933" s="401">
        <f>G940</f>
        <v>49.71</v>
      </c>
      <c r="G933" s="401">
        <f t="shared" si="51"/>
        <v>49.71</v>
      </c>
    </row>
    <row r="934" spans="1:7" ht="18.75">
      <c r="A934" s="61"/>
      <c r="B934" s="399" t="s">
        <v>216</v>
      </c>
      <c r="C934" s="313" t="s">
        <v>217</v>
      </c>
      <c r="D934" s="59" t="s">
        <v>18</v>
      </c>
      <c r="E934" s="401">
        <v>1.05</v>
      </c>
      <c r="F934" s="401">
        <f>TRUNC(30.63,2)</f>
        <v>30.63</v>
      </c>
      <c r="G934" s="401">
        <f t="shared" si="51"/>
        <v>32.16</v>
      </c>
    </row>
    <row r="935" spans="1:7" ht="18.75">
      <c r="A935" s="61"/>
      <c r="B935" s="399" t="s">
        <v>167</v>
      </c>
      <c r="C935" s="313" t="s">
        <v>168</v>
      </c>
      <c r="D935" s="59" t="s">
        <v>21</v>
      </c>
      <c r="E935" s="401">
        <v>0.011</v>
      </c>
      <c r="F935" s="401">
        <f>TRUNC(8.5,2)</f>
        <v>8.5</v>
      </c>
      <c r="G935" s="401">
        <f t="shared" si="51"/>
        <v>0.09</v>
      </c>
    </row>
    <row r="936" spans="1:7" ht="18.75">
      <c r="A936" s="61"/>
      <c r="B936" s="399" t="s">
        <v>160</v>
      </c>
      <c r="C936" s="313" t="s">
        <v>161</v>
      </c>
      <c r="D936" s="59" t="s">
        <v>24</v>
      </c>
      <c r="E936" s="401">
        <v>0.58</v>
      </c>
      <c r="F936" s="401">
        <f>TRUNC(1.84,2)</f>
        <v>1.84</v>
      </c>
      <c r="G936" s="401">
        <f t="shared" si="51"/>
        <v>1.06</v>
      </c>
    </row>
    <row r="937" spans="1:7" ht="18.75">
      <c r="A937" s="61"/>
      <c r="B937" s="399" t="s">
        <v>50</v>
      </c>
      <c r="C937" s="313" t="s">
        <v>51</v>
      </c>
      <c r="D937" s="59" t="s">
        <v>52</v>
      </c>
      <c r="E937" s="401">
        <v>0.4635</v>
      </c>
      <c r="F937" s="401">
        <f>TRUNC(14.47,2)</f>
        <v>14.47</v>
      </c>
      <c r="G937" s="401">
        <f t="shared" si="51"/>
        <v>6.7</v>
      </c>
    </row>
    <row r="938" spans="1:7" ht="18.75">
      <c r="A938" s="61"/>
      <c r="B938" s="399" t="s">
        <v>162</v>
      </c>
      <c r="C938" s="313" t="s">
        <v>163</v>
      </c>
      <c r="D938" s="59" t="s">
        <v>52</v>
      </c>
      <c r="E938" s="401">
        <v>0.41200000000000003</v>
      </c>
      <c r="F938" s="401">
        <f>TRUNC(19.97,2)</f>
        <v>19.97</v>
      </c>
      <c r="G938" s="401">
        <f t="shared" si="51"/>
        <v>8.22</v>
      </c>
    </row>
    <row r="939" spans="1:7" ht="18.75">
      <c r="A939" s="61"/>
      <c r="B939" s="399" t="s">
        <v>957</v>
      </c>
      <c r="C939" s="313" t="s">
        <v>958</v>
      </c>
      <c r="D939" s="59" t="s">
        <v>19</v>
      </c>
      <c r="E939" s="401">
        <v>0.0058</v>
      </c>
      <c r="F939" s="401">
        <f>TRUNC(256.8468,2)</f>
        <v>256.84</v>
      </c>
      <c r="G939" s="401">
        <f t="shared" si="51"/>
        <v>1.48</v>
      </c>
    </row>
    <row r="940" spans="1:7" ht="18.75">
      <c r="A940" s="61"/>
      <c r="B940" s="399"/>
      <c r="C940" s="313"/>
      <c r="D940" s="59"/>
      <c r="E940" s="401" t="s">
        <v>53</v>
      </c>
      <c r="F940" s="401"/>
      <c r="G940" s="401">
        <f>TRUNC(SUM(G934:G939),2)</f>
        <v>49.71</v>
      </c>
    </row>
    <row r="941" spans="1:7" ht="45">
      <c r="A941" s="28" t="s">
        <v>736</v>
      </c>
      <c r="B941" s="97" t="s">
        <v>1012</v>
      </c>
      <c r="C941" s="277" t="s">
        <v>593</v>
      </c>
      <c r="D941" s="15" t="s">
        <v>18</v>
      </c>
      <c r="E941" s="15">
        <v>1</v>
      </c>
      <c r="F941" s="15">
        <f>G942</f>
        <v>40.93</v>
      </c>
      <c r="G941" s="15">
        <f aca="true" t="shared" si="52" ref="G941:G948">TRUNC(E941*F941,2)</f>
        <v>40.93</v>
      </c>
    </row>
    <row r="942" spans="1:7" ht="60">
      <c r="A942" s="25"/>
      <c r="B942" s="111" t="s">
        <v>1012</v>
      </c>
      <c r="C942" s="57" t="s">
        <v>459</v>
      </c>
      <c r="D942" s="10" t="s">
        <v>18</v>
      </c>
      <c r="E942" s="10">
        <v>1</v>
      </c>
      <c r="F942" s="10">
        <f>G949</f>
        <v>40.93</v>
      </c>
      <c r="G942" s="10">
        <f t="shared" si="52"/>
        <v>40.93</v>
      </c>
    </row>
    <row r="943" spans="1:7" ht="18.75">
      <c r="A943" s="25"/>
      <c r="B943" s="111" t="s">
        <v>460</v>
      </c>
      <c r="C943" s="57" t="s">
        <v>461</v>
      </c>
      <c r="D943" s="10" t="s">
        <v>18</v>
      </c>
      <c r="E943" s="10">
        <v>1.05</v>
      </c>
      <c r="F943" s="10">
        <f>TRUNC(19.5,2)</f>
        <v>19.5</v>
      </c>
      <c r="G943" s="10">
        <f t="shared" si="52"/>
        <v>20.47</v>
      </c>
    </row>
    <row r="944" spans="1:7" ht="18.75">
      <c r="A944" s="25"/>
      <c r="B944" s="111" t="s">
        <v>160</v>
      </c>
      <c r="C944" s="57" t="s">
        <v>161</v>
      </c>
      <c r="D944" s="10" t="s">
        <v>24</v>
      </c>
      <c r="E944" s="10">
        <v>0.4</v>
      </c>
      <c r="F944" s="10">
        <f>TRUNC(1.84,2)</f>
        <v>1.84</v>
      </c>
      <c r="G944" s="10">
        <f t="shared" si="52"/>
        <v>0.73</v>
      </c>
    </row>
    <row r="945" spans="1:7" ht="18.75">
      <c r="A945" s="25"/>
      <c r="B945" s="111" t="s">
        <v>50</v>
      </c>
      <c r="C945" s="57" t="s">
        <v>51</v>
      </c>
      <c r="D945" s="10" t="s">
        <v>52</v>
      </c>
      <c r="E945" s="10">
        <v>0.5665000000000001</v>
      </c>
      <c r="F945" s="10">
        <f>TRUNC(14.47,2)</f>
        <v>14.47</v>
      </c>
      <c r="G945" s="10">
        <f t="shared" si="52"/>
        <v>8.19</v>
      </c>
    </row>
    <row r="946" spans="1:7" ht="18.75">
      <c r="A946" s="25"/>
      <c r="B946" s="111" t="s">
        <v>162</v>
      </c>
      <c r="C946" s="57" t="s">
        <v>163</v>
      </c>
      <c r="D946" s="10" t="s">
        <v>52</v>
      </c>
      <c r="E946" s="10">
        <v>0.4635</v>
      </c>
      <c r="F946" s="10">
        <f>TRUNC(19.97,2)</f>
        <v>19.97</v>
      </c>
      <c r="G946" s="10">
        <f t="shared" si="52"/>
        <v>9.25</v>
      </c>
    </row>
    <row r="947" spans="1:7" ht="18.75">
      <c r="A947" s="25"/>
      <c r="B947" s="111" t="s">
        <v>293</v>
      </c>
      <c r="C947" s="57" t="s">
        <v>294</v>
      </c>
      <c r="D947" s="10" t="s">
        <v>19</v>
      </c>
      <c r="E947" s="10">
        <v>0.006</v>
      </c>
      <c r="F947" s="10">
        <f>TRUNC(335.9636,2)</f>
        <v>335.96</v>
      </c>
      <c r="G947" s="10">
        <f t="shared" si="52"/>
        <v>2.01</v>
      </c>
    </row>
    <row r="948" spans="1:7" ht="18.75">
      <c r="A948" s="25"/>
      <c r="B948" s="111" t="s">
        <v>951</v>
      </c>
      <c r="C948" s="57" t="s">
        <v>952</v>
      </c>
      <c r="D948" s="10" t="s">
        <v>19</v>
      </c>
      <c r="E948" s="10">
        <v>0.0005</v>
      </c>
      <c r="F948" s="10">
        <f>TRUNC(567.8869,2)</f>
        <v>567.88</v>
      </c>
      <c r="G948" s="10">
        <f t="shared" si="52"/>
        <v>0.28</v>
      </c>
    </row>
    <row r="949" spans="1:7" ht="18.75">
      <c r="A949" s="25"/>
      <c r="B949" s="111"/>
      <c r="C949" s="57"/>
      <c r="D949" s="10"/>
      <c r="E949" s="10" t="s">
        <v>53</v>
      </c>
      <c r="F949" s="10"/>
      <c r="G949" s="10">
        <f>TRUNC(SUM(G943:G948),2)</f>
        <v>40.93</v>
      </c>
    </row>
    <row r="950" spans="1:7" ht="60">
      <c r="A950" s="28" t="s">
        <v>737</v>
      </c>
      <c r="B950" s="109" t="s">
        <v>1087</v>
      </c>
      <c r="C950" s="277" t="s">
        <v>424</v>
      </c>
      <c r="D950" s="15" t="s">
        <v>18</v>
      </c>
      <c r="E950" s="15">
        <v>1</v>
      </c>
      <c r="F950" s="15">
        <f>G961</f>
        <v>28.04</v>
      </c>
      <c r="G950" s="15">
        <f>TRUNC(E950*F950,2)</f>
        <v>28.04</v>
      </c>
    </row>
    <row r="951" spans="1:7" ht="45">
      <c r="A951" s="17"/>
      <c r="B951" s="165" t="s">
        <v>1013</v>
      </c>
      <c r="C951" s="57" t="s">
        <v>1014</v>
      </c>
      <c r="D951" s="2" t="s">
        <v>18</v>
      </c>
      <c r="E951" s="2">
        <v>1</v>
      </c>
      <c r="F951" s="2">
        <f>G961</f>
        <v>28.04</v>
      </c>
      <c r="G951" s="2">
        <f>TRUNC(E951*F951,2)</f>
        <v>28.04</v>
      </c>
    </row>
    <row r="952" spans="1:7" ht="18.75">
      <c r="A952" s="17"/>
      <c r="B952" s="455" t="s">
        <v>421</v>
      </c>
      <c r="C952" s="225" t="s">
        <v>422</v>
      </c>
      <c r="D952" s="45" t="s">
        <v>18</v>
      </c>
      <c r="E952" s="45">
        <v>1.05</v>
      </c>
      <c r="F952" s="45">
        <f>TRUNC(42.68,2)</f>
        <v>42.68</v>
      </c>
      <c r="G952" s="45"/>
    </row>
    <row r="953" spans="1:7" ht="18.75">
      <c r="A953" s="17"/>
      <c r="B953" s="165" t="s">
        <v>160</v>
      </c>
      <c r="C953" s="57" t="s">
        <v>161</v>
      </c>
      <c r="D953" s="2" t="s">
        <v>24</v>
      </c>
      <c r="E953" s="2">
        <v>1</v>
      </c>
      <c r="F953" s="2">
        <f>TRUNC(1.84,2)</f>
        <v>1.84</v>
      </c>
      <c r="G953" s="2">
        <f>TRUNC(E953*F953,2)</f>
        <v>1.84</v>
      </c>
    </row>
    <row r="954" spans="1:7" ht="18.75">
      <c r="A954" s="17"/>
      <c r="B954" s="455" t="s">
        <v>50</v>
      </c>
      <c r="C954" s="225" t="s">
        <v>51</v>
      </c>
      <c r="D954" s="45" t="s">
        <v>52</v>
      </c>
      <c r="E954" s="45">
        <v>0.4635</v>
      </c>
      <c r="F954" s="45">
        <f>TRUNC(14.47,2)</f>
        <v>14.47</v>
      </c>
      <c r="G954" s="45"/>
    </row>
    <row r="955" spans="1:7" ht="18.75">
      <c r="A955" s="17"/>
      <c r="B955" s="455" t="s">
        <v>162</v>
      </c>
      <c r="C955" s="225" t="s">
        <v>163</v>
      </c>
      <c r="D955" s="45" t="s">
        <v>52</v>
      </c>
      <c r="E955" s="45">
        <v>0.41200000000000003</v>
      </c>
      <c r="F955" s="45">
        <f>TRUNC(19.97,2)</f>
        <v>19.97</v>
      </c>
      <c r="G955" s="45"/>
    </row>
    <row r="956" spans="1:3" ht="18.75">
      <c r="A956" s="17"/>
      <c r="C956" s="57" t="s">
        <v>423</v>
      </c>
    </row>
    <row r="957" spans="1:7" ht="18.75">
      <c r="A957" s="17"/>
      <c r="B957" s="165" t="s">
        <v>50</v>
      </c>
      <c r="C957" s="57" t="s">
        <v>51</v>
      </c>
      <c r="D957" s="2" t="s">
        <v>52</v>
      </c>
      <c r="E957" s="2">
        <f>0.4635*1.5</f>
        <v>0.69525</v>
      </c>
      <c r="F957" s="2">
        <f>TRUNC(14.47,2)</f>
        <v>14.47</v>
      </c>
      <c r="G957" s="2">
        <f>TRUNC(E957*F957,2)</f>
        <v>10.06</v>
      </c>
    </row>
    <row r="958" spans="1:7" ht="18.75">
      <c r="A958" s="17"/>
      <c r="B958" s="165" t="s">
        <v>162</v>
      </c>
      <c r="C958" s="57" t="s">
        <v>163</v>
      </c>
      <c r="D958" s="2" t="s">
        <v>52</v>
      </c>
      <c r="E958" s="2">
        <f>0.412*1.5</f>
        <v>0.618</v>
      </c>
      <c r="F958" s="2">
        <f>TRUNC(19.97,2)</f>
        <v>19.97</v>
      </c>
      <c r="G958" s="2">
        <f>TRUNC(E958*F958,2)</f>
        <v>12.34</v>
      </c>
    </row>
    <row r="959" spans="1:7" ht="18.75">
      <c r="A959" s="17"/>
      <c r="B959" s="165" t="s">
        <v>293</v>
      </c>
      <c r="C959" s="57" t="s">
        <v>294</v>
      </c>
      <c r="D959" s="2" t="s">
        <v>19</v>
      </c>
      <c r="E959" s="2">
        <v>0.01</v>
      </c>
      <c r="F959" s="2">
        <f>TRUNC(335.9636,2)</f>
        <v>335.96</v>
      </c>
      <c r="G959" s="2">
        <f>TRUNC(E959*F959,2)</f>
        <v>3.35</v>
      </c>
    </row>
    <row r="960" spans="1:7" ht="18.75">
      <c r="A960" s="17"/>
      <c r="B960" s="165" t="s">
        <v>951</v>
      </c>
      <c r="C960" s="57" t="s">
        <v>952</v>
      </c>
      <c r="D960" s="2" t="s">
        <v>19</v>
      </c>
      <c r="E960" s="2">
        <v>0.0008</v>
      </c>
      <c r="F960" s="2">
        <f>TRUNC(567.8869,2)</f>
        <v>567.88</v>
      </c>
      <c r="G960" s="2">
        <f>TRUNC(E960*F960,2)</f>
        <v>0.45</v>
      </c>
    </row>
    <row r="961" spans="1:7" ht="18.75">
      <c r="A961" s="17"/>
      <c r="C961" s="57"/>
      <c r="E961" s="2" t="s">
        <v>53</v>
      </c>
      <c r="G961" s="2">
        <f>TRUNC(SUM(G952:G960),2)</f>
        <v>28.04</v>
      </c>
    </row>
    <row r="962" spans="1:7" ht="18.75">
      <c r="A962" s="243" t="s">
        <v>738</v>
      </c>
      <c r="B962" s="348"/>
      <c r="C962" s="240" t="s">
        <v>37</v>
      </c>
      <c r="D962" s="241"/>
      <c r="E962" s="241"/>
      <c r="F962" s="241"/>
      <c r="G962" s="241"/>
    </row>
    <row r="963" spans="1:7" ht="18.75">
      <c r="A963" s="254"/>
      <c r="B963" s="141"/>
      <c r="C963" s="249" t="s">
        <v>338</v>
      </c>
      <c r="D963" s="256"/>
      <c r="E963" s="256"/>
      <c r="F963" s="256"/>
      <c r="G963" s="256"/>
    </row>
    <row r="964" spans="1:7" ht="18.75">
      <c r="A964" s="254" t="s">
        <v>739</v>
      </c>
      <c r="B964" s="141" t="s">
        <v>1015</v>
      </c>
      <c r="C964" s="312" t="s">
        <v>594</v>
      </c>
      <c r="D964" s="256" t="s">
        <v>15</v>
      </c>
      <c r="E964" s="256">
        <v>1</v>
      </c>
      <c r="F964" s="256">
        <f>F965</f>
        <v>6.4</v>
      </c>
      <c r="G964" s="256">
        <f>TRUNC(E964*F964,2)</f>
        <v>6.4</v>
      </c>
    </row>
    <row r="965" spans="1:7" ht="30">
      <c r="A965" s="61"/>
      <c r="B965" s="399" t="s">
        <v>1015</v>
      </c>
      <c r="C965" s="313" t="s">
        <v>38</v>
      </c>
      <c r="D965" s="59" t="s">
        <v>15</v>
      </c>
      <c r="E965" s="59">
        <v>1</v>
      </c>
      <c r="F965" s="59">
        <f>G968</f>
        <v>6.4</v>
      </c>
      <c r="G965" s="59">
        <f>TRUNC(E965*F965,2)</f>
        <v>6.4</v>
      </c>
    </row>
    <row r="966" spans="1:7" ht="18.75">
      <c r="A966" s="61"/>
      <c r="B966" s="399" t="s">
        <v>157</v>
      </c>
      <c r="C966" s="313" t="s">
        <v>158</v>
      </c>
      <c r="D966" s="59" t="s">
        <v>21</v>
      </c>
      <c r="E966" s="59">
        <v>1</v>
      </c>
      <c r="F966" s="59">
        <f>TRUNC(0.44,2)</f>
        <v>0.44</v>
      </c>
      <c r="G966" s="59">
        <f>TRUNC(E966*F966,2)</f>
        <v>0.44</v>
      </c>
    </row>
    <row r="967" spans="1:7" ht="18.75">
      <c r="A967" s="61"/>
      <c r="B967" s="399" t="s">
        <v>50</v>
      </c>
      <c r="C967" s="313" t="s">
        <v>51</v>
      </c>
      <c r="D967" s="59" t="s">
        <v>52</v>
      </c>
      <c r="E967" s="59">
        <v>0.41200000000000003</v>
      </c>
      <c r="F967" s="59">
        <f>TRUNC(14.47,2)</f>
        <v>14.47</v>
      </c>
      <c r="G967" s="59">
        <f>TRUNC(E967*F967,2)</f>
        <v>5.96</v>
      </c>
    </row>
    <row r="968" spans="1:7" ht="18.75">
      <c r="A968" s="61"/>
      <c r="B968" s="399"/>
      <c r="C968" s="313"/>
      <c r="D968" s="59"/>
      <c r="E968" s="59" t="s">
        <v>53</v>
      </c>
      <c r="F968" s="59"/>
      <c r="G968" s="59">
        <f>TRUNC(SUM(G966:G967),2)</f>
        <v>6.4</v>
      </c>
    </row>
    <row r="969" spans="1:7" ht="18.75">
      <c r="A969" s="28"/>
      <c r="B969" s="97"/>
      <c r="C969" s="323" t="s">
        <v>340</v>
      </c>
      <c r="D969" s="15"/>
      <c r="E969" s="15"/>
      <c r="F969" s="15"/>
      <c r="G969" s="15"/>
    </row>
    <row r="970" spans="1:7" ht="45">
      <c r="A970" s="28" t="s">
        <v>740</v>
      </c>
      <c r="B970" s="97" t="s">
        <v>1016</v>
      </c>
      <c r="C970" s="278" t="s">
        <v>342</v>
      </c>
      <c r="D970" s="15" t="s">
        <v>15</v>
      </c>
      <c r="E970" s="15">
        <v>1</v>
      </c>
      <c r="F970" s="15" t="e">
        <f>#REF!</f>
        <v>#REF!</v>
      </c>
      <c r="G970" s="15" t="e">
        <f aca="true" t="shared" si="53" ref="G970:G977">TRUNC(E970*F970,2)</f>
        <v>#REF!</v>
      </c>
    </row>
    <row r="971" spans="1:7" ht="45">
      <c r="A971" s="25"/>
      <c r="B971" s="111" t="s">
        <v>1016</v>
      </c>
      <c r="C971" s="221" t="s">
        <v>1017</v>
      </c>
      <c r="D971" s="10" t="s">
        <v>15</v>
      </c>
      <c r="E971" s="10">
        <v>1</v>
      </c>
      <c r="F971" s="10">
        <f>G978</f>
        <v>35.01</v>
      </c>
      <c r="G971" s="10">
        <f t="shared" si="53"/>
        <v>35.01</v>
      </c>
    </row>
    <row r="972" spans="1:7" ht="18.75">
      <c r="A972" s="25"/>
      <c r="B972" s="111" t="s">
        <v>169</v>
      </c>
      <c r="C972" s="221" t="s">
        <v>170</v>
      </c>
      <c r="D972" s="10" t="s">
        <v>21</v>
      </c>
      <c r="E972" s="10">
        <v>2</v>
      </c>
      <c r="F972" s="10">
        <f>TRUNC(0.65,2)</f>
        <v>0.65</v>
      </c>
      <c r="G972" s="10">
        <f t="shared" si="53"/>
        <v>1.3</v>
      </c>
    </row>
    <row r="973" spans="1:7" ht="30">
      <c r="A973" s="25"/>
      <c r="B973" s="111" t="s">
        <v>171</v>
      </c>
      <c r="C973" s="221" t="s">
        <v>172</v>
      </c>
      <c r="D973" s="10" t="s">
        <v>21</v>
      </c>
      <c r="E973" s="10">
        <v>0.01</v>
      </c>
      <c r="F973" s="10">
        <f>TRUNC(256.11,2)</f>
        <v>256.11</v>
      </c>
      <c r="G973" s="10">
        <f t="shared" si="53"/>
        <v>2.56</v>
      </c>
    </row>
    <row r="974" spans="1:7" ht="18.75">
      <c r="A974" s="25"/>
      <c r="B974" s="111" t="s">
        <v>173</v>
      </c>
      <c r="C974" s="221" t="s">
        <v>174</v>
      </c>
      <c r="D974" s="10" t="s">
        <v>47</v>
      </c>
      <c r="E974" s="10">
        <v>0.04</v>
      </c>
      <c r="F974" s="10">
        <f>TRUNC(17.7,2)</f>
        <v>17.7</v>
      </c>
      <c r="G974" s="10">
        <f t="shared" si="53"/>
        <v>0.7</v>
      </c>
    </row>
    <row r="975" spans="1:7" ht="18.75">
      <c r="A975" s="25"/>
      <c r="B975" s="111" t="s">
        <v>175</v>
      </c>
      <c r="C975" s="221" t="s">
        <v>176</v>
      </c>
      <c r="D975" s="10" t="s">
        <v>21</v>
      </c>
      <c r="E975" s="10">
        <v>0.046</v>
      </c>
      <c r="F975" s="10">
        <f>TRUNC(83.62,2)</f>
        <v>83.62</v>
      </c>
      <c r="G975" s="10">
        <f t="shared" si="53"/>
        <v>3.84</v>
      </c>
    </row>
    <row r="976" spans="1:7" ht="18.75">
      <c r="A976" s="25"/>
      <c r="B976" s="111" t="s">
        <v>50</v>
      </c>
      <c r="C976" s="221" t="s">
        <v>51</v>
      </c>
      <c r="D976" s="10" t="s">
        <v>52</v>
      </c>
      <c r="E976" s="10">
        <v>0.48924999999999996</v>
      </c>
      <c r="F976" s="10">
        <f>TRUNC(14.47,2)</f>
        <v>14.47</v>
      </c>
      <c r="G976" s="10">
        <f t="shared" si="53"/>
        <v>7.07</v>
      </c>
    </row>
    <row r="977" spans="1:7" ht="18.75">
      <c r="A977" s="25"/>
      <c r="B977" s="111" t="s">
        <v>786</v>
      </c>
      <c r="C977" s="221" t="s">
        <v>787</v>
      </c>
      <c r="D977" s="10" t="s">
        <v>52</v>
      </c>
      <c r="E977" s="10">
        <v>0.9784999999999999</v>
      </c>
      <c r="F977" s="10">
        <f>TRUNC(19.97,2)</f>
        <v>19.97</v>
      </c>
      <c r="G977" s="10">
        <f t="shared" si="53"/>
        <v>19.54</v>
      </c>
    </row>
    <row r="978" spans="1:7" ht="18.75">
      <c r="A978" s="25"/>
      <c r="B978" s="111"/>
      <c r="C978" s="221"/>
      <c r="D978" s="10"/>
      <c r="E978" s="10" t="s">
        <v>53</v>
      </c>
      <c r="F978" s="10"/>
      <c r="G978" s="10">
        <f>TRUNC(SUM(G972:G977),2)</f>
        <v>35.01</v>
      </c>
    </row>
    <row r="979" spans="1:3" ht="21" customHeight="1">
      <c r="A979" s="17"/>
      <c r="C979" s="341" t="s">
        <v>353</v>
      </c>
    </row>
    <row r="980" spans="1:3" ht="18.75">
      <c r="A980" s="17"/>
      <c r="C980" s="229"/>
    </row>
    <row r="981" spans="1:7" ht="18.75">
      <c r="A981" s="28" t="s">
        <v>741</v>
      </c>
      <c r="B981" s="97" t="s">
        <v>870</v>
      </c>
      <c r="C981" s="278" t="s">
        <v>343</v>
      </c>
      <c r="D981" s="15" t="s">
        <v>15</v>
      </c>
      <c r="E981" s="15">
        <v>1</v>
      </c>
      <c r="F981" s="15">
        <f>F982</f>
        <v>2.47</v>
      </c>
      <c r="G981" s="15">
        <f>TRUNC(E981*F981,2)</f>
        <v>2.47</v>
      </c>
    </row>
    <row r="982" spans="1:7" ht="18.75">
      <c r="A982" s="25"/>
      <c r="B982" s="111" t="s">
        <v>870</v>
      </c>
      <c r="C982" s="221" t="s">
        <v>343</v>
      </c>
      <c r="D982" s="10" t="s">
        <v>15</v>
      </c>
      <c r="E982" s="10">
        <v>1</v>
      </c>
      <c r="F982" s="10">
        <f>G986</f>
        <v>2.47</v>
      </c>
      <c r="G982" s="10">
        <f>TRUNC(E982*F982,2)</f>
        <v>2.47</v>
      </c>
    </row>
    <row r="983" spans="1:7" ht="18.75">
      <c r="A983" s="25"/>
      <c r="B983" s="111" t="s">
        <v>871</v>
      </c>
      <c r="C983" s="221" t="s">
        <v>344</v>
      </c>
      <c r="D983" s="10" t="s">
        <v>61</v>
      </c>
      <c r="E983" s="10">
        <v>0.16</v>
      </c>
      <c r="F983" s="10">
        <f>TRUNC(7.23,2)</f>
        <v>7.23</v>
      </c>
      <c r="G983" s="10">
        <f>TRUNC(E983*F983,2)</f>
        <v>1.15</v>
      </c>
    </row>
    <row r="984" spans="1:7" ht="18.75">
      <c r="A984" s="25"/>
      <c r="B984" s="111" t="s">
        <v>54</v>
      </c>
      <c r="C984" s="221" t="s">
        <v>55</v>
      </c>
      <c r="D984" s="10" t="s">
        <v>52</v>
      </c>
      <c r="E984" s="10">
        <v>0.014</v>
      </c>
      <c r="F984" s="10">
        <f>TRUNC(21.24,2)</f>
        <v>21.24</v>
      </c>
      <c r="G984" s="10">
        <f>TRUNC(E984*F984,2)</f>
        <v>0.29</v>
      </c>
    </row>
    <row r="985" spans="1:7" ht="18.75">
      <c r="A985" s="25"/>
      <c r="B985" s="111" t="s">
        <v>177</v>
      </c>
      <c r="C985" s="221" t="s">
        <v>178</v>
      </c>
      <c r="D985" s="10" t="s">
        <v>52</v>
      </c>
      <c r="E985" s="10">
        <v>0.039</v>
      </c>
      <c r="F985" s="10">
        <f>TRUNC(26.61,2)</f>
        <v>26.61</v>
      </c>
      <c r="G985" s="10">
        <f>TRUNC(E985*F985,2)</f>
        <v>1.03</v>
      </c>
    </row>
    <row r="986" spans="1:7" ht="18.75">
      <c r="A986" s="25"/>
      <c r="B986" s="111"/>
      <c r="C986" s="221"/>
      <c r="D986" s="10"/>
      <c r="E986" s="10" t="s">
        <v>53</v>
      </c>
      <c r="F986" s="10"/>
      <c r="G986" s="10">
        <f>TRUNC(SUM(G983:G985),2)</f>
        <v>2.47</v>
      </c>
    </row>
    <row r="987" spans="1:7" ht="30">
      <c r="A987" s="28" t="s">
        <v>742</v>
      </c>
      <c r="B987" s="97" t="s">
        <v>1018</v>
      </c>
      <c r="C987" s="278" t="s">
        <v>349</v>
      </c>
      <c r="D987" s="15" t="s">
        <v>15</v>
      </c>
      <c r="E987" s="15">
        <v>1</v>
      </c>
      <c r="F987" s="15">
        <f>F988</f>
        <v>25.89</v>
      </c>
      <c r="G987" s="15">
        <f aca="true" t="shared" si="54" ref="G987:G992">TRUNC(E987*F987,2)</f>
        <v>25.89</v>
      </c>
    </row>
    <row r="988" spans="1:7" ht="30">
      <c r="A988" s="25"/>
      <c r="B988" s="111" t="s">
        <v>1018</v>
      </c>
      <c r="C988" s="221" t="s">
        <v>349</v>
      </c>
      <c r="D988" s="10" t="s">
        <v>15</v>
      </c>
      <c r="E988" s="10">
        <v>1</v>
      </c>
      <c r="F988" s="10">
        <f>G993</f>
        <v>25.89</v>
      </c>
      <c r="G988" s="10">
        <f t="shared" si="54"/>
        <v>25.89</v>
      </c>
    </row>
    <row r="989" spans="1:7" ht="18.75">
      <c r="A989" s="25"/>
      <c r="B989" s="111" t="s">
        <v>1019</v>
      </c>
      <c r="C989" s="221" t="s">
        <v>218</v>
      </c>
      <c r="D989" s="10" t="s">
        <v>47</v>
      </c>
      <c r="E989" s="10">
        <v>0.244</v>
      </c>
      <c r="F989" s="10">
        <f>TRUNC(31.21,2)</f>
        <v>31.21</v>
      </c>
      <c r="G989" s="10">
        <f t="shared" si="54"/>
        <v>7.61</v>
      </c>
    </row>
    <row r="990" spans="1:7" ht="18.75">
      <c r="A990" s="25"/>
      <c r="B990" s="111" t="s">
        <v>1020</v>
      </c>
      <c r="C990" s="221" t="s">
        <v>219</v>
      </c>
      <c r="D990" s="10" t="s">
        <v>21</v>
      </c>
      <c r="E990" s="10">
        <v>0.1</v>
      </c>
      <c r="F990" s="10">
        <f>TRUNC(0.68,2)</f>
        <v>0.68</v>
      </c>
      <c r="G990" s="10">
        <f t="shared" si="54"/>
        <v>0.06</v>
      </c>
    </row>
    <row r="991" spans="1:7" ht="18.75">
      <c r="A991" s="25"/>
      <c r="B991" s="111" t="s">
        <v>54</v>
      </c>
      <c r="C991" s="221" t="s">
        <v>55</v>
      </c>
      <c r="D991" s="10" t="s">
        <v>52</v>
      </c>
      <c r="E991" s="10">
        <v>0.143</v>
      </c>
      <c r="F991" s="10">
        <f>TRUNC(21.24,2)</f>
        <v>21.24</v>
      </c>
      <c r="G991" s="10">
        <f t="shared" si="54"/>
        <v>3.03</v>
      </c>
    </row>
    <row r="992" spans="1:7" ht="18.75">
      <c r="A992" s="25"/>
      <c r="B992" s="111" t="s">
        <v>177</v>
      </c>
      <c r="C992" s="221" t="s">
        <v>178</v>
      </c>
      <c r="D992" s="10" t="s">
        <v>52</v>
      </c>
      <c r="E992" s="10">
        <v>0.571</v>
      </c>
      <c r="F992" s="10">
        <f>TRUNC(26.61,2)</f>
        <v>26.61</v>
      </c>
      <c r="G992" s="10">
        <f t="shared" si="54"/>
        <v>15.19</v>
      </c>
    </row>
    <row r="993" spans="1:7" ht="18.75">
      <c r="A993" s="25"/>
      <c r="B993" s="111"/>
      <c r="C993" s="221"/>
      <c r="D993" s="10"/>
      <c r="E993" s="10" t="s">
        <v>53</v>
      </c>
      <c r="F993" s="10"/>
      <c r="G993" s="10">
        <f>TRUNC(SUM(G989:G992),2)</f>
        <v>25.89</v>
      </c>
    </row>
    <row r="994" spans="1:7" ht="30">
      <c r="A994" s="28" t="s">
        <v>743</v>
      </c>
      <c r="B994" s="97" t="s">
        <v>1021</v>
      </c>
      <c r="C994" s="278" t="s">
        <v>347</v>
      </c>
      <c r="D994" s="15" t="s">
        <v>15</v>
      </c>
      <c r="E994" s="15">
        <v>1</v>
      </c>
      <c r="F994" s="15">
        <f>F995</f>
        <v>12.78</v>
      </c>
      <c r="G994" s="15">
        <f>TRUNC(E994*F994,2)</f>
        <v>12.78</v>
      </c>
    </row>
    <row r="995" spans="1:7" ht="30">
      <c r="A995" s="25"/>
      <c r="B995" s="111" t="s">
        <v>1021</v>
      </c>
      <c r="C995" s="221" t="s">
        <v>347</v>
      </c>
      <c r="D995" s="10" t="s">
        <v>15</v>
      </c>
      <c r="E995" s="10">
        <v>1</v>
      </c>
      <c r="F995" s="10">
        <f>G999</f>
        <v>12.78</v>
      </c>
      <c r="G995" s="10">
        <f>TRUNC(E995*F995,2)</f>
        <v>12.78</v>
      </c>
    </row>
    <row r="996" spans="1:7" ht="18.75">
      <c r="A996" s="25"/>
      <c r="B996" s="111" t="s">
        <v>873</v>
      </c>
      <c r="C996" s="221" t="s">
        <v>179</v>
      </c>
      <c r="D996" s="10" t="s">
        <v>61</v>
      </c>
      <c r="E996" s="10">
        <v>0.33</v>
      </c>
      <c r="F996" s="10">
        <f>TRUNC(19.27,2)</f>
        <v>19.27</v>
      </c>
      <c r="G996" s="10">
        <f>TRUNC(E996*F996,2)</f>
        <v>6.35</v>
      </c>
    </row>
    <row r="997" spans="1:7" ht="18.75">
      <c r="A997" s="25"/>
      <c r="B997" s="111" t="s">
        <v>54</v>
      </c>
      <c r="C997" s="221" t="s">
        <v>55</v>
      </c>
      <c r="D997" s="10" t="s">
        <v>52</v>
      </c>
      <c r="E997" s="10">
        <v>0.069</v>
      </c>
      <c r="F997" s="10">
        <f>TRUNC(21.24,2)</f>
        <v>21.24</v>
      </c>
      <c r="G997" s="10">
        <f>TRUNC(E997*F997,2)</f>
        <v>1.46</v>
      </c>
    </row>
    <row r="998" spans="1:7" ht="18.75">
      <c r="A998" s="25"/>
      <c r="B998" s="111" t="s">
        <v>177</v>
      </c>
      <c r="C998" s="221" t="s">
        <v>178</v>
      </c>
      <c r="D998" s="10" t="s">
        <v>52</v>
      </c>
      <c r="E998" s="10">
        <v>0.187</v>
      </c>
      <c r="F998" s="10">
        <f>TRUNC(26.61,2)</f>
        <v>26.61</v>
      </c>
      <c r="G998" s="10">
        <f>TRUNC(E998*F998,2)</f>
        <v>4.97</v>
      </c>
    </row>
    <row r="999" spans="1:7" ht="18.75">
      <c r="A999" s="25"/>
      <c r="B999" s="111"/>
      <c r="C999" s="221"/>
      <c r="D999" s="10"/>
      <c r="E999" s="10" t="s">
        <v>53</v>
      </c>
      <c r="F999" s="10"/>
      <c r="G999" s="10">
        <f>TRUNC(SUM(G996:G998),2)</f>
        <v>12.78</v>
      </c>
    </row>
    <row r="1000" spans="1:7" ht="18.75">
      <c r="A1000" s="28"/>
      <c r="B1000" s="97"/>
      <c r="C1000" s="323" t="s">
        <v>341</v>
      </c>
      <c r="D1000" s="15"/>
      <c r="E1000" s="15"/>
      <c r="F1000" s="15"/>
      <c r="G1000" s="15"/>
    </row>
    <row r="1001" spans="1:7" ht="18.75">
      <c r="A1001" s="28" t="s">
        <v>744</v>
      </c>
      <c r="B1001" s="97" t="s">
        <v>1022</v>
      </c>
      <c r="C1001" s="278" t="s">
        <v>345</v>
      </c>
      <c r="D1001" s="15" t="s">
        <v>15</v>
      </c>
      <c r="E1001" s="15">
        <v>1</v>
      </c>
      <c r="F1001" s="15">
        <f>F1002</f>
        <v>3.41</v>
      </c>
      <c r="G1001" s="15">
        <f>TRUNC(E1001*F1001,2)</f>
        <v>3.41</v>
      </c>
    </row>
    <row r="1002" spans="1:7" ht="18.75">
      <c r="A1002" s="25"/>
      <c r="B1002" s="111" t="s">
        <v>1022</v>
      </c>
      <c r="C1002" s="221" t="s">
        <v>345</v>
      </c>
      <c r="D1002" s="10" t="s">
        <v>15</v>
      </c>
      <c r="E1002" s="10">
        <v>1</v>
      </c>
      <c r="F1002" s="10">
        <f>G1006</f>
        <v>3.41</v>
      </c>
      <c r="G1002" s="10">
        <f>TRUNC(E1002*F1002,2)</f>
        <v>3.41</v>
      </c>
    </row>
    <row r="1003" spans="1:7" ht="18.75">
      <c r="A1003" s="25"/>
      <c r="B1003" s="111" t="s">
        <v>1023</v>
      </c>
      <c r="C1003" s="221" t="s">
        <v>346</v>
      </c>
      <c r="D1003" s="10" t="s">
        <v>61</v>
      </c>
      <c r="E1003" s="10">
        <v>0.16</v>
      </c>
      <c r="F1003" s="10">
        <f>TRUNC(13.74,2)</f>
        <v>13.74</v>
      </c>
      <c r="G1003" s="10">
        <f>TRUNC(E1003*F1003,2)</f>
        <v>2.19</v>
      </c>
    </row>
    <row r="1004" spans="1:7" ht="18.75">
      <c r="A1004" s="25"/>
      <c r="B1004" s="111" t="s">
        <v>54</v>
      </c>
      <c r="C1004" s="221" t="s">
        <v>55</v>
      </c>
      <c r="D1004" s="10" t="s">
        <v>52</v>
      </c>
      <c r="E1004" s="10">
        <v>0.013</v>
      </c>
      <c r="F1004" s="10">
        <f>TRUNC(21.24,2)</f>
        <v>21.24</v>
      </c>
      <c r="G1004" s="10">
        <f>TRUNC(E1004*F1004,2)</f>
        <v>0.27</v>
      </c>
    </row>
    <row r="1005" spans="1:7" ht="18.75">
      <c r="A1005" s="25"/>
      <c r="B1005" s="111" t="s">
        <v>177</v>
      </c>
      <c r="C1005" s="221" t="s">
        <v>178</v>
      </c>
      <c r="D1005" s="10" t="s">
        <v>52</v>
      </c>
      <c r="E1005" s="10">
        <v>0.036</v>
      </c>
      <c r="F1005" s="10">
        <f>TRUNC(26.61,2)</f>
        <v>26.61</v>
      </c>
      <c r="G1005" s="10">
        <f>TRUNC(E1005*F1005,2)</f>
        <v>0.95</v>
      </c>
    </row>
    <row r="1006" spans="1:7" ht="18.75">
      <c r="A1006" s="25"/>
      <c r="B1006" s="111"/>
      <c r="C1006" s="221"/>
      <c r="D1006" s="10"/>
      <c r="E1006" s="10" t="s">
        <v>53</v>
      </c>
      <c r="F1006" s="10"/>
      <c r="G1006" s="10">
        <f>TRUNC(SUM(G1003:G1005),2)</f>
        <v>3.41</v>
      </c>
    </row>
    <row r="1007" spans="1:7" ht="18.75">
      <c r="A1007" s="28" t="s">
        <v>745</v>
      </c>
      <c r="B1007" s="97" t="s">
        <v>1024</v>
      </c>
      <c r="C1007" s="278" t="s">
        <v>350</v>
      </c>
      <c r="D1007" s="15" t="s">
        <v>15</v>
      </c>
      <c r="E1007" s="15">
        <v>1</v>
      </c>
      <c r="F1007" s="15">
        <f>F1008</f>
        <v>19.92</v>
      </c>
      <c r="G1007" s="15">
        <f aca="true" t="shared" si="55" ref="G1007:G1012">TRUNC(E1007*F1007,2)</f>
        <v>19.92</v>
      </c>
    </row>
    <row r="1008" spans="1:7" ht="18.75">
      <c r="A1008" s="25"/>
      <c r="B1008" s="111" t="s">
        <v>1024</v>
      </c>
      <c r="C1008" s="221" t="s">
        <v>350</v>
      </c>
      <c r="D1008" s="10" t="s">
        <v>15</v>
      </c>
      <c r="E1008" s="10">
        <v>1</v>
      </c>
      <c r="F1008" s="10">
        <f>G1013</f>
        <v>19.92</v>
      </c>
      <c r="G1008" s="10">
        <f t="shared" si="55"/>
        <v>19.92</v>
      </c>
    </row>
    <row r="1009" spans="1:7" ht="18.75">
      <c r="A1009" s="25"/>
      <c r="B1009" s="111" t="s">
        <v>1025</v>
      </c>
      <c r="C1009" s="221" t="s">
        <v>351</v>
      </c>
      <c r="D1009" s="10" t="s">
        <v>352</v>
      </c>
      <c r="E1009" s="10">
        <v>0.0328</v>
      </c>
      <c r="F1009" s="10">
        <f>TRUNC(77.9,2)</f>
        <v>77.9</v>
      </c>
      <c r="G1009" s="10">
        <f t="shared" si="55"/>
        <v>2.55</v>
      </c>
    </row>
    <row r="1010" spans="1:7" ht="18.75">
      <c r="A1010" s="25"/>
      <c r="B1010" s="111" t="s">
        <v>1020</v>
      </c>
      <c r="C1010" s="221" t="s">
        <v>219</v>
      </c>
      <c r="D1010" s="10" t="s">
        <v>21</v>
      </c>
      <c r="E1010" s="10">
        <v>0.06</v>
      </c>
      <c r="F1010" s="10">
        <f>TRUNC(0.68,2)</f>
        <v>0.68</v>
      </c>
      <c r="G1010" s="10">
        <f t="shared" si="55"/>
        <v>0.04</v>
      </c>
    </row>
    <row r="1011" spans="1:7" ht="18.75">
      <c r="A1011" s="25"/>
      <c r="B1011" s="111" t="s">
        <v>54</v>
      </c>
      <c r="C1011" s="221" t="s">
        <v>55</v>
      </c>
      <c r="D1011" s="10" t="s">
        <v>52</v>
      </c>
      <c r="E1011" s="10">
        <v>0.185</v>
      </c>
      <c r="F1011" s="10">
        <f>TRUNC(21.24,2)</f>
        <v>21.24</v>
      </c>
      <c r="G1011" s="10">
        <f t="shared" si="55"/>
        <v>3.92</v>
      </c>
    </row>
    <row r="1012" spans="1:7" ht="18.75">
      <c r="A1012" s="25"/>
      <c r="B1012" s="111" t="s">
        <v>177</v>
      </c>
      <c r="C1012" s="221" t="s">
        <v>178</v>
      </c>
      <c r="D1012" s="10" t="s">
        <v>52</v>
      </c>
      <c r="E1012" s="10">
        <v>0.504</v>
      </c>
      <c r="F1012" s="10">
        <f>TRUNC(26.61,2)</f>
        <v>26.61</v>
      </c>
      <c r="G1012" s="10">
        <f t="shared" si="55"/>
        <v>13.41</v>
      </c>
    </row>
    <row r="1013" spans="1:7" ht="18.75">
      <c r="A1013" s="25"/>
      <c r="B1013" s="111"/>
      <c r="C1013" s="221"/>
      <c r="D1013" s="10"/>
      <c r="E1013" s="10" t="s">
        <v>53</v>
      </c>
      <c r="F1013" s="10"/>
      <c r="G1013" s="10">
        <f>TRUNC(SUM(G1009:G1012),2)</f>
        <v>19.92</v>
      </c>
    </row>
    <row r="1014" spans="1:7" ht="30">
      <c r="A1014" s="28" t="s">
        <v>746</v>
      </c>
      <c r="B1014" s="97" t="s">
        <v>1026</v>
      </c>
      <c r="C1014" s="278" t="s">
        <v>39</v>
      </c>
      <c r="D1014" s="15" t="s">
        <v>15</v>
      </c>
      <c r="E1014" s="15">
        <v>1</v>
      </c>
      <c r="F1014" s="15">
        <f>F1015</f>
        <v>11.32</v>
      </c>
      <c r="G1014" s="15">
        <f>TRUNC(E1014*F1014,2)</f>
        <v>11.32</v>
      </c>
    </row>
    <row r="1015" spans="1:7" ht="30">
      <c r="A1015" s="25"/>
      <c r="B1015" s="111" t="s">
        <v>1026</v>
      </c>
      <c r="C1015" s="221" t="s">
        <v>39</v>
      </c>
      <c r="D1015" s="10" t="s">
        <v>15</v>
      </c>
      <c r="E1015" s="10">
        <v>1</v>
      </c>
      <c r="F1015" s="10">
        <f>G1019</f>
        <v>11.32</v>
      </c>
      <c r="G1015" s="10">
        <f>TRUNC(E1015*F1015,2)</f>
        <v>11.32</v>
      </c>
    </row>
    <row r="1016" spans="1:7" ht="18.75">
      <c r="A1016" s="25"/>
      <c r="B1016" s="111" t="s">
        <v>1027</v>
      </c>
      <c r="C1016" s="221" t="s">
        <v>348</v>
      </c>
      <c r="D1016" s="10" t="s">
        <v>61</v>
      </c>
      <c r="E1016" s="10">
        <v>0.33</v>
      </c>
      <c r="F1016" s="10">
        <f>TRUNC(16.66,2)</f>
        <v>16.66</v>
      </c>
      <c r="G1016" s="10">
        <f>TRUNC(E1016*F1016,2)</f>
        <v>5.49</v>
      </c>
    </row>
    <row r="1017" spans="1:7" ht="18.75">
      <c r="A1017" s="25"/>
      <c r="B1017" s="111" t="s">
        <v>54</v>
      </c>
      <c r="C1017" s="221" t="s">
        <v>55</v>
      </c>
      <c r="D1017" s="10" t="s">
        <v>52</v>
      </c>
      <c r="E1017" s="10">
        <v>0.062</v>
      </c>
      <c r="F1017" s="10">
        <f>TRUNC(21.24,2)</f>
        <v>21.24</v>
      </c>
      <c r="G1017" s="10">
        <f>TRUNC(E1017*F1017,2)</f>
        <v>1.31</v>
      </c>
    </row>
    <row r="1018" spans="1:7" ht="18.75">
      <c r="A1018" s="25"/>
      <c r="B1018" s="111" t="s">
        <v>177</v>
      </c>
      <c r="C1018" s="221" t="s">
        <v>178</v>
      </c>
      <c r="D1018" s="10" t="s">
        <v>52</v>
      </c>
      <c r="E1018" s="10">
        <v>0.17</v>
      </c>
      <c r="F1018" s="10">
        <f>TRUNC(26.61,2)</f>
        <v>26.61</v>
      </c>
      <c r="G1018" s="10">
        <f>TRUNC(E1018*F1018,2)</f>
        <v>4.52</v>
      </c>
    </row>
    <row r="1019" spans="1:7" ht="18.75">
      <c r="A1019" s="25"/>
      <c r="B1019" s="111"/>
      <c r="C1019" s="221"/>
      <c r="D1019" s="10"/>
      <c r="E1019" s="10" t="s">
        <v>53</v>
      </c>
      <c r="F1019" s="10"/>
      <c r="G1019" s="10">
        <f>TRUNC(SUM(G1016:G1018),2)</f>
        <v>11.32</v>
      </c>
    </row>
    <row r="1020" spans="1:7" ht="18.75">
      <c r="A1020" s="28"/>
      <c r="B1020" s="97"/>
      <c r="C1020" s="237" t="s">
        <v>339</v>
      </c>
      <c r="D1020" s="15"/>
      <c r="E1020" s="15"/>
      <c r="F1020" s="15"/>
      <c r="G1020" s="15"/>
    </row>
    <row r="1021" spans="1:7" ht="18.75">
      <c r="A1021" s="28" t="s">
        <v>747</v>
      </c>
      <c r="B1021" s="97" t="s">
        <v>870</v>
      </c>
      <c r="C1021" s="278" t="s">
        <v>343</v>
      </c>
      <c r="D1021" s="15" t="s">
        <v>15</v>
      </c>
      <c r="E1021" s="15">
        <v>1</v>
      </c>
      <c r="F1021" s="15">
        <f>F1022</f>
        <v>2.47</v>
      </c>
      <c r="G1021" s="15">
        <f>TRUNC(E1021*F1021,2)</f>
        <v>2.47</v>
      </c>
    </row>
    <row r="1022" spans="1:7" ht="18.75">
      <c r="A1022" s="25"/>
      <c r="B1022" s="111" t="s">
        <v>870</v>
      </c>
      <c r="C1022" s="221" t="s">
        <v>343</v>
      </c>
      <c r="D1022" s="10" t="s">
        <v>15</v>
      </c>
      <c r="E1022" s="10">
        <v>1</v>
      </c>
      <c r="F1022" s="10">
        <f>G1026</f>
        <v>2.47</v>
      </c>
      <c r="G1022" s="10">
        <f>TRUNC(E1022*F1022,2)</f>
        <v>2.47</v>
      </c>
    </row>
    <row r="1023" spans="1:7" ht="18.75">
      <c r="A1023" s="25"/>
      <c r="B1023" s="111" t="s">
        <v>871</v>
      </c>
      <c r="C1023" s="221" t="s">
        <v>344</v>
      </c>
      <c r="D1023" s="10" t="s">
        <v>61</v>
      </c>
      <c r="E1023" s="10">
        <v>0.16</v>
      </c>
      <c r="F1023" s="10">
        <f>TRUNC(7.23,2)</f>
        <v>7.23</v>
      </c>
      <c r="G1023" s="10">
        <f>TRUNC(E1023*F1023,2)</f>
        <v>1.15</v>
      </c>
    </row>
    <row r="1024" spans="1:7" ht="18.75">
      <c r="A1024" s="25"/>
      <c r="B1024" s="111" t="s">
        <v>54</v>
      </c>
      <c r="C1024" s="221" t="s">
        <v>55</v>
      </c>
      <c r="D1024" s="10" t="s">
        <v>52</v>
      </c>
      <c r="E1024" s="10">
        <v>0.014</v>
      </c>
      <c r="F1024" s="10">
        <f>TRUNC(21.24,2)</f>
        <v>21.24</v>
      </c>
      <c r="G1024" s="10">
        <f>TRUNC(E1024*F1024,2)</f>
        <v>0.29</v>
      </c>
    </row>
    <row r="1025" spans="1:7" ht="18.75">
      <c r="A1025" s="25"/>
      <c r="B1025" s="111" t="s">
        <v>177</v>
      </c>
      <c r="C1025" s="221" t="s">
        <v>178</v>
      </c>
      <c r="D1025" s="10" t="s">
        <v>52</v>
      </c>
      <c r="E1025" s="10">
        <v>0.039</v>
      </c>
      <c r="F1025" s="10">
        <f>TRUNC(26.61,2)</f>
        <v>26.61</v>
      </c>
      <c r="G1025" s="10">
        <f>TRUNC(E1025*F1025,2)</f>
        <v>1.03</v>
      </c>
    </row>
    <row r="1026" spans="1:7" ht="18.75">
      <c r="A1026" s="25"/>
      <c r="B1026" s="111"/>
      <c r="C1026" s="221"/>
      <c r="D1026" s="10"/>
      <c r="E1026" s="10" t="s">
        <v>53</v>
      </c>
      <c r="F1026" s="10"/>
      <c r="G1026" s="10">
        <f>TRUNC(SUM(G1023:G1025),2)</f>
        <v>2.47</v>
      </c>
    </row>
    <row r="1027" spans="1:7" ht="30">
      <c r="A1027" s="28" t="s">
        <v>748</v>
      </c>
      <c r="B1027" s="97" t="s">
        <v>872</v>
      </c>
      <c r="C1027" s="277" t="s">
        <v>40</v>
      </c>
      <c r="D1027" s="15" t="s">
        <v>15</v>
      </c>
      <c r="E1027" s="8">
        <v>1</v>
      </c>
      <c r="F1027" s="8">
        <f>F1028</f>
        <v>14.82</v>
      </c>
      <c r="G1027" s="8">
        <f>TRUNC(E1027*F1027,2)</f>
        <v>14.82</v>
      </c>
    </row>
    <row r="1028" spans="1:7" ht="30">
      <c r="A1028" s="25"/>
      <c r="B1028" s="111" t="s">
        <v>872</v>
      </c>
      <c r="C1028" s="57" t="s">
        <v>40</v>
      </c>
      <c r="D1028" s="10" t="s">
        <v>15</v>
      </c>
      <c r="E1028" s="373">
        <v>1</v>
      </c>
      <c r="F1028" s="373">
        <f>G1032</f>
        <v>14.82</v>
      </c>
      <c r="G1028" s="373">
        <f>TRUNC(E1028*F1028,2)</f>
        <v>14.82</v>
      </c>
    </row>
    <row r="1029" spans="1:7" ht="18.75">
      <c r="A1029" s="25"/>
      <c r="B1029" s="111" t="s">
        <v>873</v>
      </c>
      <c r="C1029" s="57" t="s">
        <v>179</v>
      </c>
      <c r="D1029" s="10" t="s">
        <v>61</v>
      </c>
      <c r="E1029" s="373">
        <v>0.2</v>
      </c>
      <c r="F1029" s="373">
        <f>TRUNC(19.27,2)</f>
        <v>19.27</v>
      </c>
      <c r="G1029" s="373">
        <f>TRUNC(E1029*F1029,2)</f>
        <v>3.85</v>
      </c>
    </row>
    <row r="1030" spans="1:7" ht="18.75">
      <c r="A1030" s="25"/>
      <c r="B1030" s="111" t="s">
        <v>54</v>
      </c>
      <c r="C1030" s="57" t="s">
        <v>55</v>
      </c>
      <c r="D1030" s="10" t="s">
        <v>52</v>
      </c>
      <c r="E1030" s="373">
        <v>0.086</v>
      </c>
      <c r="F1030" s="373">
        <f>TRUNC(21.24,2)</f>
        <v>21.24</v>
      </c>
      <c r="G1030" s="373">
        <f>TRUNC(E1030*F1030,2)</f>
        <v>1.82</v>
      </c>
    </row>
    <row r="1031" spans="1:7" ht="18.75">
      <c r="A1031" s="25"/>
      <c r="B1031" s="111" t="s">
        <v>177</v>
      </c>
      <c r="C1031" s="57" t="s">
        <v>178</v>
      </c>
      <c r="D1031" s="10" t="s">
        <v>52</v>
      </c>
      <c r="E1031" s="373">
        <v>0.344</v>
      </c>
      <c r="F1031" s="373">
        <f>TRUNC(26.61,2)</f>
        <v>26.61</v>
      </c>
      <c r="G1031" s="373">
        <f>TRUNC(E1031*F1031,2)</f>
        <v>9.15</v>
      </c>
    </row>
    <row r="1032" spans="1:7" ht="18.75">
      <c r="A1032" s="25"/>
      <c r="B1032" s="111"/>
      <c r="C1032" s="57"/>
      <c r="D1032" s="10"/>
      <c r="E1032" s="373" t="s">
        <v>53</v>
      </c>
      <c r="F1032" s="373"/>
      <c r="G1032" s="373">
        <f>TRUNC(SUM(G1029:G1031),2)</f>
        <v>14.82</v>
      </c>
    </row>
    <row r="1033" spans="1:7" ht="30">
      <c r="A1033" s="28" t="s">
        <v>749</v>
      </c>
      <c r="B1033" s="97" t="s">
        <v>1028</v>
      </c>
      <c r="C1033" s="277" t="s">
        <v>354</v>
      </c>
      <c r="D1033" s="15" t="s">
        <v>15</v>
      </c>
      <c r="E1033" s="15">
        <v>1</v>
      </c>
      <c r="F1033" s="15">
        <f>F1034</f>
        <v>19.65</v>
      </c>
      <c r="G1033" s="15">
        <f aca="true" t="shared" si="56" ref="G1033:G1040">TRUNC(E1033*F1033,2)</f>
        <v>19.65</v>
      </c>
    </row>
    <row r="1034" spans="1:7" ht="30">
      <c r="A1034" s="25"/>
      <c r="B1034" s="111" t="s">
        <v>1028</v>
      </c>
      <c r="C1034" s="57" t="s">
        <v>354</v>
      </c>
      <c r="D1034" s="10" t="s">
        <v>15</v>
      </c>
      <c r="E1034" s="10">
        <v>1</v>
      </c>
      <c r="F1034" s="10">
        <f>G1041</f>
        <v>19.65</v>
      </c>
      <c r="G1034" s="10">
        <f t="shared" si="56"/>
        <v>19.65</v>
      </c>
    </row>
    <row r="1035" spans="1:7" ht="18.75">
      <c r="A1035" s="25"/>
      <c r="B1035" s="111" t="s">
        <v>1029</v>
      </c>
      <c r="C1035" s="57" t="s">
        <v>355</v>
      </c>
      <c r="D1035" s="10" t="s">
        <v>61</v>
      </c>
      <c r="E1035" s="10">
        <v>0.132</v>
      </c>
      <c r="F1035" s="10">
        <f>TRUNC(26.66,2)</f>
        <v>26.66</v>
      </c>
      <c r="G1035" s="10">
        <f t="shared" si="56"/>
        <v>3.51</v>
      </c>
    </row>
    <row r="1036" spans="1:7" ht="18.75">
      <c r="A1036" s="25"/>
      <c r="B1036" s="111" t="s">
        <v>1030</v>
      </c>
      <c r="C1036" s="57" t="s">
        <v>356</v>
      </c>
      <c r="D1036" s="10" t="s">
        <v>61</v>
      </c>
      <c r="E1036" s="10">
        <v>0.176</v>
      </c>
      <c r="F1036" s="10">
        <f>TRUNC(29.09,2)</f>
        <v>29.09</v>
      </c>
      <c r="G1036" s="10">
        <f t="shared" si="56"/>
        <v>5.11</v>
      </c>
    </row>
    <row r="1037" spans="1:7" ht="18.75">
      <c r="A1037" s="25"/>
      <c r="B1037" s="111" t="s">
        <v>1031</v>
      </c>
      <c r="C1037" s="57" t="s">
        <v>357</v>
      </c>
      <c r="D1037" s="10" t="s">
        <v>61</v>
      </c>
      <c r="E1037" s="10">
        <v>0.044</v>
      </c>
      <c r="F1037" s="10">
        <f>TRUNC(35.25,2)</f>
        <v>35.25</v>
      </c>
      <c r="G1037" s="10">
        <f t="shared" si="56"/>
        <v>1.55</v>
      </c>
    </row>
    <row r="1038" spans="1:7" ht="18.75">
      <c r="A1038" s="25"/>
      <c r="B1038" s="111" t="s">
        <v>1032</v>
      </c>
      <c r="C1038" s="57" t="s">
        <v>358</v>
      </c>
      <c r="D1038" s="10" t="s">
        <v>21</v>
      </c>
      <c r="E1038" s="10">
        <v>0.55</v>
      </c>
      <c r="F1038" s="10">
        <f>TRUNC(2.86,2)</f>
        <v>2.86</v>
      </c>
      <c r="G1038" s="10">
        <f t="shared" si="56"/>
        <v>1.57</v>
      </c>
    </row>
    <row r="1039" spans="1:7" ht="18.75">
      <c r="A1039" s="25"/>
      <c r="B1039" s="111" t="s">
        <v>54</v>
      </c>
      <c r="C1039" s="57" t="s">
        <v>55</v>
      </c>
      <c r="D1039" s="10" t="s">
        <v>52</v>
      </c>
      <c r="E1039" s="10">
        <v>0.11</v>
      </c>
      <c r="F1039" s="10">
        <f>TRUNC(21.24,2)</f>
        <v>21.24</v>
      </c>
      <c r="G1039" s="10">
        <f t="shared" si="56"/>
        <v>2.33</v>
      </c>
    </row>
    <row r="1040" spans="1:7" ht="18.75">
      <c r="A1040" s="25"/>
      <c r="B1040" s="111" t="s">
        <v>177</v>
      </c>
      <c r="C1040" s="57" t="s">
        <v>178</v>
      </c>
      <c r="D1040" s="10" t="s">
        <v>52</v>
      </c>
      <c r="E1040" s="10">
        <v>0.21</v>
      </c>
      <c r="F1040" s="10">
        <f>TRUNC(26.61,2)</f>
        <v>26.61</v>
      </c>
      <c r="G1040" s="10">
        <f t="shared" si="56"/>
        <v>5.58</v>
      </c>
    </row>
    <row r="1041" spans="1:7" ht="18.75">
      <c r="A1041" s="25"/>
      <c r="B1041" s="111"/>
      <c r="C1041" s="57"/>
      <c r="D1041" s="10"/>
      <c r="E1041" s="10" t="s">
        <v>53</v>
      </c>
      <c r="F1041" s="10"/>
      <c r="G1041" s="10">
        <f>TRUNC(SUM(G1035:G1040),2)</f>
        <v>19.65</v>
      </c>
    </row>
    <row r="1042" spans="1:7" s="10" customFormat="1" ht="18.75">
      <c r="A1042" s="243" t="s">
        <v>1097</v>
      </c>
      <c r="B1042" s="348"/>
      <c r="C1042" s="244" t="s">
        <v>1136</v>
      </c>
      <c r="D1042" s="241"/>
      <c r="E1042" s="241"/>
      <c r="F1042" s="241"/>
      <c r="G1042" s="241"/>
    </row>
    <row r="1043" spans="1:7" s="10" customFormat="1" ht="18.75">
      <c r="A1043" s="243"/>
      <c r="B1043" s="348"/>
      <c r="C1043" s="244" t="s">
        <v>1137</v>
      </c>
      <c r="D1043" s="241"/>
      <c r="E1043" s="241"/>
      <c r="F1043" s="241"/>
      <c r="G1043" s="241"/>
    </row>
    <row r="1044" spans="1:9" s="10" customFormat="1" ht="18.75">
      <c r="A1044" s="28" t="s">
        <v>1098</v>
      </c>
      <c r="B1044" s="97" t="s">
        <v>1138</v>
      </c>
      <c r="C1044" s="278" t="s">
        <v>1139</v>
      </c>
      <c r="D1044" s="15" t="s">
        <v>21</v>
      </c>
      <c r="E1044" s="15">
        <v>1</v>
      </c>
      <c r="F1044" s="15">
        <f>F1045</f>
        <v>176.17</v>
      </c>
      <c r="G1044" s="15">
        <f>E1044*F1044</f>
        <v>176.17</v>
      </c>
      <c r="I1044" s="59"/>
    </row>
    <row r="1045" spans="1:9" s="10" customFormat="1" ht="18.75">
      <c r="A1045" s="25"/>
      <c r="B1045" s="111" t="s">
        <v>1138</v>
      </c>
      <c r="C1045" s="221" t="s">
        <v>1139</v>
      </c>
      <c r="D1045" s="10" t="s">
        <v>21</v>
      </c>
      <c r="E1045" s="10">
        <v>1</v>
      </c>
      <c r="F1045" s="10">
        <f>G1049</f>
        <v>176.17</v>
      </c>
      <c r="G1045" s="10">
        <f>TRUNC(E1045*F1045,2)</f>
        <v>176.17</v>
      </c>
      <c r="I1045" s="59"/>
    </row>
    <row r="1046" spans="1:9" s="10" customFormat="1" ht="30">
      <c r="A1046" s="25"/>
      <c r="B1046" s="111" t="s">
        <v>1140</v>
      </c>
      <c r="C1046" s="221" t="s">
        <v>1141</v>
      </c>
      <c r="D1046" s="10" t="s">
        <v>21</v>
      </c>
      <c r="E1046" s="10">
        <v>1</v>
      </c>
      <c r="F1046" s="10">
        <f>TRUNC(152.08,2)</f>
        <v>152.08</v>
      </c>
      <c r="G1046" s="10">
        <f>TRUNC(E1046*F1046,2)</f>
        <v>152.08</v>
      </c>
      <c r="I1046" s="59"/>
    </row>
    <row r="1047" spans="1:9" s="10" customFormat="1" ht="18.75">
      <c r="A1047" s="25"/>
      <c r="B1047" s="111" t="s">
        <v>54</v>
      </c>
      <c r="C1047" s="221" t="s">
        <v>55</v>
      </c>
      <c r="D1047" s="10" t="s">
        <v>52</v>
      </c>
      <c r="E1047" s="10">
        <v>0.5</v>
      </c>
      <c r="F1047" s="10">
        <f>TRUNC(21.24,2)</f>
        <v>21.24</v>
      </c>
      <c r="G1047" s="10">
        <f>TRUNC(E1047*F1047,2)</f>
        <v>10.62</v>
      </c>
      <c r="I1047" s="59"/>
    </row>
    <row r="1048" spans="1:9" s="10" customFormat="1" ht="18.75">
      <c r="A1048" s="25"/>
      <c r="B1048" s="111" t="s">
        <v>118</v>
      </c>
      <c r="C1048" s="221" t="s">
        <v>119</v>
      </c>
      <c r="D1048" s="10" t="s">
        <v>52</v>
      </c>
      <c r="E1048" s="10">
        <v>0.5</v>
      </c>
      <c r="F1048" s="10">
        <f>TRUNC(26.95,2)</f>
        <v>26.95</v>
      </c>
      <c r="G1048" s="10">
        <f>TRUNC(E1048*F1048,2)</f>
        <v>13.47</v>
      </c>
      <c r="I1048" s="59"/>
    </row>
    <row r="1049" spans="1:9" s="10" customFormat="1" ht="18.75">
      <c r="A1049" s="25"/>
      <c r="B1049" s="111"/>
      <c r="C1049" s="221"/>
      <c r="E1049" s="10" t="s">
        <v>53</v>
      </c>
      <c r="G1049" s="10">
        <f>TRUNC(SUM(G1046:G1048),2)</f>
        <v>176.17</v>
      </c>
      <c r="I1049" s="59"/>
    </row>
    <row r="1050" spans="1:9" s="10" customFormat="1" ht="30">
      <c r="A1050" s="28" t="s">
        <v>1142</v>
      </c>
      <c r="B1050" s="97" t="s">
        <v>1143</v>
      </c>
      <c r="C1050" s="278" t="s">
        <v>1144</v>
      </c>
      <c r="D1050" s="15" t="s">
        <v>21</v>
      </c>
      <c r="E1050" s="15">
        <v>1</v>
      </c>
      <c r="F1050" s="15">
        <v>157.16</v>
      </c>
      <c r="G1050" s="15">
        <f>E1050*F1050</f>
        <v>157.16</v>
      </c>
      <c r="I1050" s="59"/>
    </row>
    <row r="1051" spans="1:9" s="10" customFormat="1" ht="30">
      <c r="A1051" s="25"/>
      <c r="B1051" s="111" t="s">
        <v>1143</v>
      </c>
      <c r="C1051" s="221" t="s">
        <v>1144</v>
      </c>
      <c r="D1051" s="10" t="s">
        <v>21</v>
      </c>
      <c r="E1051" s="10">
        <v>1</v>
      </c>
      <c r="F1051" s="10">
        <f>G1055</f>
        <v>157.16</v>
      </c>
      <c r="G1051" s="10">
        <f>TRUNC(E1051*F1051,2)</f>
        <v>157.16</v>
      </c>
      <c r="I1051" s="59"/>
    </row>
    <row r="1052" spans="1:9" s="10" customFormat="1" ht="18.75">
      <c r="A1052" s="25"/>
      <c r="B1052" s="111" t="s">
        <v>1145</v>
      </c>
      <c r="C1052" s="221" t="s">
        <v>1146</v>
      </c>
      <c r="D1052" s="10" t="s">
        <v>21</v>
      </c>
      <c r="E1052" s="10">
        <v>1</v>
      </c>
      <c r="F1052" s="10">
        <f>TRUNC(133.07,2)</f>
        <v>133.07</v>
      </c>
      <c r="G1052" s="10">
        <f>TRUNC(E1052*F1052,2)</f>
        <v>133.07</v>
      </c>
      <c r="I1052" s="59"/>
    </row>
    <row r="1053" spans="1:9" s="10" customFormat="1" ht="18.75">
      <c r="A1053" s="25"/>
      <c r="B1053" s="111" t="s">
        <v>54</v>
      </c>
      <c r="C1053" s="221" t="s">
        <v>55</v>
      </c>
      <c r="D1053" s="10" t="s">
        <v>52</v>
      </c>
      <c r="E1053" s="10">
        <v>0.5</v>
      </c>
      <c r="F1053" s="10">
        <f>TRUNC(21.24,2)</f>
        <v>21.24</v>
      </c>
      <c r="G1053" s="10">
        <f>TRUNC(E1053*F1053,2)</f>
        <v>10.62</v>
      </c>
      <c r="I1053" s="59"/>
    </row>
    <row r="1054" spans="1:9" s="10" customFormat="1" ht="18.75">
      <c r="A1054" s="25"/>
      <c r="B1054" s="111" t="s">
        <v>118</v>
      </c>
      <c r="C1054" s="221" t="s">
        <v>119</v>
      </c>
      <c r="D1054" s="10" t="s">
        <v>52</v>
      </c>
      <c r="E1054" s="10">
        <v>0.5</v>
      </c>
      <c r="F1054" s="10">
        <f>TRUNC(26.95,2)</f>
        <v>26.95</v>
      </c>
      <c r="G1054" s="10">
        <f>TRUNC(E1054*F1054,2)</f>
        <v>13.47</v>
      </c>
      <c r="I1054" s="59"/>
    </row>
    <row r="1055" spans="1:9" s="10" customFormat="1" ht="18.75">
      <c r="A1055" s="25"/>
      <c r="B1055" s="111"/>
      <c r="C1055" s="221"/>
      <c r="E1055" s="10" t="s">
        <v>53</v>
      </c>
      <c r="G1055" s="10">
        <f>TRUNC(SUM(G1052:G1054),2)</f>
        <v>157.16</v>
      </c>
      <c r="I1055" s="59"/>
    </row>
    <row r="1056" spans="1:7" s="10" customFormat="1" ht="18.75">
      <c r="A1056" s="28" t="s">
        <v>1147</v>
      </c>
      <c r="B1056" s="97" t="s">
        <v>1148</v>
      </c>
      <c r="C1056" s="278" t="s">
        <v>1149</v>
      </c>
      <c r="D1056" s="15" t="s">
        <v>21</v>
      </c>
      <c r="E1056" s="15">
        <v>1</v>
      </c>
      <c r="F1056" s="15">
        <f>F1057</f>
        <v>471.05</v>
      </c>
      <c r="G1056" s="15">
        <f>E1056*F1056</f>
        <v>471.05</v>
      </c>
    </row>
    <row r="1057" spans="1:7" s="10" customFormat="1" ht="18.75">
      <c r="A1057" s="25"/>
      <c r="B1057" s="111" t="s">
        <v>1148</v>
      </c>
      <c r="C1057" s="221" t="s">
        <v>1149</v>
      </c>
      <c r="D1057" s="10" t="s">
        <v>21</v>
      </c>
      <c r="E1057" s="10">
        <v>1</v>
      </c>
      <c r="F1057" s="10">
        <f>TRUNC(471.05,2)</f>
        <v>471.05</v>
      </c>
      <c r="G1057" s="10">
        <f>TRUNC(E1057*F1057,2)</f>
        <v>471.05</v>
      </c>
    </row>
    <row r="1058" spans="1:7" s="10" customFormat="1" ht="18.75">
      <c r="A1058" s="25"/>
      <c r="B1058" s="111" t="s">
        <v>1150</v>
      </c>
      <c r="C1058" s="221" t="s">
        <v>1151</v>
      </c>
      <c r="D1058" s="10" t="s">
        <v>21</v>
      </c>
      <c r="E1058" s="10">
        <v>1</v>
      </c>
      <c r="F1058" s="10">
        <f>TRUNC(456.24,2)</f>
        <v>456.24</v>
      </c>
      <c r="G1058" s="10">
        <f>TRUNC(E1058*F1058,2)</f>
        <v>456.24</v>
      </c>
    </row>
    <row r="1059" spans="1:7" s="10" customFormat="1" ht="30">
      <c r="A1059" s="25"/>
      <c r="B1059" s="111" t="s">
        <v>1152</v>
      </c>
      <c r="C1059" s="221" t="s">
        <v>1153</v>
      </c>
      <c r="D1059" s="10" t="s">
        <v>21</v>
      </c>
      <c r="E1059" s="10">
        <v>1</v>
      </c>
      <c r="F1059" s="10">
        <f>TRUNC(0.44,2)</f>
        <v>0.44</v>
      </c>
      <c r="G1059" s="10">
        <f>TRUNC(E1059*F1059,2)</f>
        <v>0.44</v>
      </c>
    </row>
    <row r="1060" spans="1:7" s="10" customFormat="1" ht="18.75">
      <c r="A1060" s="25"/>
      <c r="B1060" s="111" t="s">
        <v>54</v>
      </c>
      <c r="C1060" s="221" t="s">
        <v>55</v>
      </c>
      <c r="D1060" s="10" t="s">
        <v>52</v>
      </c>
      <c r="E1060" s="10">
        <v>0.3</v>
      </c>
      <c r="F1060" s="10">
        <f>TRUNC(21.24,2)</f>
        <v>21.24</v>
      </c>
      <c r="G1060" s="10">
        <f>TRUNC(E1060*F1060,2)</f>
        <v>6.37</v>
      </c>
    </row>
    <row r="1061" spans="1:7" s="10" customFormat="1" ht="18.75">
      <c r="A1061" s="25"/>
      <c r="B1061" s="111" t="s">
        <v>131</v>
      </c>
      <c r="C1061" s="221" t="s">
        <v>59</v>
      </c>
      <c r="D1061" s="10" t="s">
        <v>52</v>
      </c>
      <c r="E1061" s="10">
        <v>0.3</v>
      </c>
      <c r="F1061" s="10">
        <f>TRUNC(26.66,2)</f>
        <v>26.66</v>
      </c>
      <c r="G1061" s="10">
        <f>TRUNC(E1061*F1061,2)</f>
        <v>7.99</v>
      </c>
    </row>
    <row r="1062" spans="1:7" s="10" customFormat="1" ht="18.75">
      <c r="A1062" s="25"/>
      <c r="B1062" s="111"/>
      <c r="C1062" s="221"/>
      <c r="E1062" s="10" t="s">
        <v>53</v>
      </c>
      <c r="G1062" s="10">
        <f>TRUNC(SUM(G1058:G1061),2)</f>
        <v>471.04</v>
      </c>
    </row>
    <row r="1063" spans="1:7" s="10" customFormat="1" ht="18.75">
      <c r="A1063" s="28" t="s">
        <v>1154</v>
      </c>
      <c r="B1063" s="97" t="s">
        <v>1155</v>
      </c>
      <c r="C1063" s="278" t="s">
        <v>1156</v>
      </c>
      <c r="D1063" s="15" t="s">
        <v>21</v>
      </c>
      <c r="E1063" s="15">
        <v>1</v>
      </c>
      <c r="F1063" s="15">
        <f>G1066</f>
        <v>10.600000000000001</v>
      </c>
      <c r="G1063" s="15">
        <f>E1063*F1063</f>
        <v>10.600000000000001</v>
      </c>
    </row>
    <row r="1064" spans="1:7" s="10" customFormat="1" ht="18.75">
      <c r="A1064" s="25"/>
      <c r="B1064" s="111" t="s">
        <v>1157</v>
      </c>
      <c r="C1064" s="221" t="s">
        <v>1156</v>
      </c>
      <c r="D1064" s="10" t="s">
        <v>1158</v>
      </c>
      <c r="E1064" s="10">
        <v>1</v>
      </c>
      <c r="F1064" s="10">
        <v>8.48</v>
      </c>
      <c r="G1064" s="10">
        <f>TRUNC(E1064*F1064,2)</f>
        <v>8.48</v>
      </c>
    </row>
    <row r="1065" spans="1:7" s="10" customFormat="1" ht="18.75">
      <c r="A1065" s="25"/>
      <c r="B1065" s="111" t="s">
        <v>54</v>
      </c>
      <c r="C1065" s="221" t="s">
        <v>55</v>
      </c>
      <c r="D1065" s="10" t="s">
        <v>52</v>
      </c>
      <c r="E1065" s="10">
        <v>0.1</v>
      </c>
      <c r="F1065" s="10">
        <f>TRUNC(21.24,2)</f>
        <v>21.24</v>
      </c>
      <c r="G1065" s="10">
        <f>TRUNC(E1065*F1065,2)</f>
        <v>2.12</v>
      </c>
    </row>
    <row r="1066" spans="1:7" s="10" customFormat="1" ht="18.75">
      <c r="A1066" s="25"/>
      <c r="B1066" s="111"/>
      <c r="C1066" s="221"/>
      <c r="G1066" s="10">
        <f>SUM(G1064:G1065)</f>
        <v>10.600000000000001</v>
      </c>
    </row>
    <row r="1067" spans="1:7" s="10" customFormat="1" ht="18.75">
      <c r="A1067" s="28" t="s">
        <v>1159</v>
      </c>
      <c r="B1067" s="97" t="s">
        <v>1160</v>
      </c>
      <c r="C1067" s="278" t="s">
        <v>1161</v>
      </c>
      <c r="D1067" s="15" t="s">
        <v>21</v>
      </c>
      <c r="E1067" s="15">
        <v>1</v>
      </c>
      <c r="F1067" s="15">
        <f>G1070</f>
        <v>10.600000000000001</v>
      </c>
      <c r="G1067" s="15">
        <f>E1067*F1067</f>
        <v>10.600000000000001</v>
      </c>
    </row>
    <row r="1068" spans="1:7" s="10" customFormat="1" ht="18.75">
      <c r="A1068" s="25"/>
      <c r="B1068" s="111" t="s">
        <v>1157</v>
      </c>
      <c r="C1068" s="221" t="s">
        <v>1161</v>
      </c>
      <c r="D1068" s="10" t="s">
        <v>1158</v>
      </c>
      <c r="E1068" s="10">
        <v>1</v>
      </c>
      <c r="F1068" s="10">
        <v>8.48</v>
      </c>
      <c r="G1068" s="10">
        <f>TRUNC(E1068*F1068,2)</f>
        <v>8.48</v>
      </c>
    </row>
    <row r="1069" spans="1:7" s="10" customFormat="1" ht="18.75">
      <c r="A1069" s="25"/>
      <c r="B1069" s="111" t="s">
        <v>54</v>
      </c>
      <c r="C1069" s="221" t="s">
        <v>55</v>
      </c>
      <c r="D1069" s="10" t="s">
        <v>52</v>
      </c>
      <c r="E1069" s="10">
        <v>0.1</v>
      </c>
      <c r="F1069" s="10">
        <f>TRUNC(21.24,2)</f>
        <v>21.24</v>
      </c>
      <c r="G1069" s="10">
        <f>TRUNC(E1069*F1069,2)</f>
        <v>2.12</v>
      </c>
    </row>
    <row r="1070" spans="1:7" s="10" customFormat="1" ht="18.75">
      <c r="A1070" s="25"/>
      <c r="B1070" s="111"/>
      <c r="C1070" s="221"/>
      <c r="G1070" s="10">
        <f>SUM(G1068:G1069)</f>
        <v>10.600000000000001</v>
      </c>
    </row>
    <row r="1071" spans="1:7" s="10" customFormat="1" ht="30">
      <c r="A1071" s="28" t="s">
        <v>1162</v>
      </c>
      <c r="B1071" s="97" t="s">
        <v>1163</v>
      </c>
      <c r="C1071" s="278" t="s">
        <v>1164</v>
      </c>
      <c r="D1071" s="15" t="s">
        <v>21</v>
      </c>
      <c r="E1071" s="15">
        <v>1</v>
      </c>
      <c r="F1071" s="15">
        <f>G1074</f>
        <v>10.600000000000001</v>
      </c>
      <c r="G1071" s="15">
        <f>E1071*F1071</f>
        <v>10.600000000000001</v>
      </c>
    </row>
    <row r="1072" spans="1:7" s="10" customFormat="1" ht="30">
      <c r="A1072" s="25"/>
      <c r="B1072" s="111" t="s">
        <v>1157</v>
      </c>
      <c r="C1072" s="221" t="s">
        <v>1164</v>
      </c>
      <c r="D1072" s="10" t="s">
        <v>1158</v>
      </c>
      <c r="E1072" s="10">
        <v>1</v>
      </c>
      <c r="F1072" s="10">
        <v>8.48</v>
      </c>
      <c r="G1072" s="10">
        <f>TRUNC(E1072*F1072,2)</f>
        <v>8.48</v>
      </c>
    </row>
    <row r="1073" spans="1:7" s="10" customFormat="1" ht="18.75">
      <c r="A1073" s="25"/>
      <c r="B1073" s="111" t="s">
        <v>54</v>
      </c>
      <c r="C1073" s="221" t="s">
        <v>55</v>
      </c>
      <c r="D1073" s="10" t="s">
        <v>52</v>
      </c>
      <c r="E1073" s="10">
        <v>0.1</v>
      </c>
      <c r="F1073" s="10">
        <f>TRUNC(21.24,2)</f>
        <v>21.24</v>
      </c>
      <c r="G1073" s="10">
        <f>TRUNC(E1073*F1073,2)</f>
        <v>2.12</v>
      </c>
    </row>
    <row r="1074" spans="1:7" s="10" customFormat="1" ht="18.75">
      <c r="A1074" s="25"/>
      <c r="B1074" s="111"/>
      <c r="C1074" s="221"/>
      <c r="G1074" s="10">
        <f>SUM(G1072:G1073)</f>
        <v>10.600000000000001</v>
      </c>
    </row>
    <row r="1075" spans="1:7" s="10" customFormat="1" ht="18.75">
      <c r="A1075" s="28" t="s">
        <v>1165</v>
      </c>
      <c r="B1075" s="97" t="s">
        <v>1166</v>
      </c>
      <c r="C1075" s="278" t="s">
        <v>1167</v>
      </c>
      <c r="D1075" s="15" t="s">
        <v>21</v>
      </c>
      <c r="E1075" s="15">
        <v>1</v>
      </c>
      <c r="F1075" s="15">
        <f>G1078</f>
        <v>10.66</v>
      </c>
      <c r="G1075" s="15">
        <f>E1075*F1075</f>
        <v>10.66</v>
      </c>
    </row>
    <row r="1076" spans="1:7" s="10" customFormat="1" ht="18.75">
      <c r="A1076" s="25"/>
      <c r="B1076" s="111" t="s">
        <v>1157</v>
      </c>
      <c r="C1076" s="221" t="s">
        <v>1167</v>
      </c>
      <c r="D1076" s="10" t="s">
        <v>1158</v>
      </c>
      <c r="E1076" s="10">
        <v>1</v>
      </c>
      <c r="F1076" s="10">
        <v>8.54</v>
      </c>
      <c r="G1076" s="10">
        <f>TRUNC(E1076*F1076,2)</f>
        <v>8.54</v>
      </c>
    </row>
    <row r="1077" spans="1:7" s="10" customFormat="1" ht="18.75">
      <c r="A1077" s="25"/>
      <c r="B1077" s="111" t="s">
        <v>54</v>
      </c>
      <c r="C1077" s="221" t="s">
        <v>55</v>
      </c>
      <c r="D1077" s="10" t="s">
        <v>52</v>
      </c>
      <c r="E1077" s="10">
        <v>0.1</v>
      </c>
      <c r="F1077" s="10">
        <f>TRUNC(21.24,2)</f>
        <v>21.24</v>
      </c>
      <c r="G1077" s="10">
        <f>TRUNC(E1077*F1077,2)</f>
        <v>2.12</v>
      </c>
    </row>
    <row r="1078" spans="1:7" s="10" customFormat="1" ht="18.75">
      <c r="A1078" s="25"/>
      <c r="B1078" s="111"/>
      <c r="C1078" s="221"/>
      <c r="G1078" s="10">
        <f>SUM(G1076:G1077)</f>
        <v>10.66</v>
      </c>
    </row>
    <row r="1079" spans="1:7" s="10" customFormat="1" ht="18.75">
      <c r="A1079" s="287" t="s">
        <v>1168</v>
      </c>
      <c r="B1079" s="168" t="s">
        <v>1169</v>
      </c>
      <c r="C1079" s="598" t="s">
        <v>1170</v>
      </c>
      <c r="D1079" s="290" t="s">
        <v>21</v>
      </c>
      <c r="E1079" s="290">
        <v>1</v>
      </c>
      <c r="F1079" s="15">
        <f>G1082</f>
        <v>10.719999999999999</v>
      </c>
      <c r="G1079" s="15">
        <f>E1079*F1079</f>
        <v>10.719999999999999</v>
      </c>
    </row>
    <row r="1080" spans="1:7" s="10" customFormat="1" ht="18.75">
      <c r="A1080" s="543"/>
      <c r="B1080" s="599" t="s">
        <v>1157</v>
      </c>
      <c r="C1080" s="600" t="s">
        <v>1170</v>
      </c>
      <c r="D1080" s="563" t="s">
        <v>1158</v>
      </c>
      <c r="E1080" s="563">
        <v>1</v>
      </c>
      <c r="F1080" s="10">
        <v>8.6</v>
      </c>
      <c r="G1080" s="564">
        <f>TRUNC(E1080*F1080,2)</f>
        <v>8.6</v>
      </c>
    </row>
    <row r="1081" spans="1:7" s="10" customFormat="1" ht="18.75">
      <c r="A1081" s="518"/>
      <c r="B1081" s="111" t="s">
        <v>54</v>
      </c>
      <c r="C1081" s="221" t="s">
        <v>55</v>
      </c>
      <c r="D1081" s="10" t="s">
        <v>52</v>
      </c>
      <c r="E1081" s="10">
        <v>0.1</v>
      </c>
      <c r="F1081" s="10">
        <f>TRUNC(21.24,2)</f>
        <v>21.24</v>
      </c>
      <c r="G1081" s="529">
        <f>TRUNC(E1081*F1081,2)</f>
        <v>2.12</v>
      </c>
    </row>
    <row r="1082" spans="1:7" s="10" customFormat="1" ht="18.75">
      <c r="A1082" s="329"/>
      <c r="B1082" s="443"/>
      <c r="C1082" s="519"/>
      <c r="D1082" s="331"/>
      <c r="E1082" s="331"/>
      <c r="F1082" s="331"/>
      <c r="G1082" s="332">
        <f>SUM(G1080:G1081)</f>
        <v>10.719999999999999</v>
      </c>
    </row>
    <row r="1083" spans="1:7" s="10" customFormat="1" ht="18.75">
      <c r="A1083" s="287" t="s">
        <v>1171</v>
      </c>
      <c r="B1083" s="168" t="s">
        <v>1172</v>
      </c>
      <c r="C1083" s="598" t="s">
        <v>1173</v>
      </c>
      <c r="D1083" s="290" t="s">
        <v>21</v>
      </c>
      <c r="E1083" s="290">
        <v>1</v>
      </c>
      <c r="F1083" s="15">
        <f>G1086</f>
        <v>10.600000000000001</v>
      </c>
      <c r="G1083" s="15">
        <f>E1083*F1083</f>
        <v>10.600000000000001</v>
      </c>
    </row>
    <row r="1084" spans="1:7" s="10" customFormat="1" ht="18.75">
      <c r="A1084" s="543"/>
      <c r="B1084" s="599" t="s">
        <v>1157</v>
      </c>
      <c r="C1084" s="600" t="s">
        <v>1173</v>
      </c>
      <c r="D1084" s="563" t="s">
        <v>1158</v>
      </c>
      <c r="E1084" s="563">
        <v>1</v>
      </c>
      <c r="F1084" s="563">
        <v>8.48</v>
      </c>
      <c r="G1084" s="564">
        <f>TRUNC(E1084*F1084,2)</f>
        <v>8.48</v>
      </c>
    </row>
    <row r="1085" spans="1:7" s="10" customFormat="1" ht="18.75">
      <c r="A1085" s="518"/>
      <c r="B1085" s="111" t="s">
        <v>54</v>
      </c>
      <c r="C1085" s="221" t="s">
        <v>55</v>
      </c>
      <c r="D1085" s="10" t="s">
        <v>52</v>
      </c>
      <c r="E1085" s="10">
        <v>0.1</v>
      </c>
      <c r="F1085" s="10">
        <f>TRUNC(21.24,2)</f>
        <v>21.24</v>
      </c>
      <c r="G1085" s="529">
        <f>TRUNC(E1085*F1085,2)</f>
        <v>2.12</v>
      </c>
    </row>
    <row r="1086" spans="1:7" s="10" customFormat="1" ht="18.75">
      <c r="A1086" s="329"/>
      <c r="B1086" s="443"/>
      <c r="C1086" s="519"/>
      <c r="D1086" s="331"/>
      <c r="E1086" s="331"/>
      <c r="F1086" s="331"/>
      <c r="G1086" s="332">
        <f>SUM(G1084:G1085)</f>
        <v>10.600000000000001</v>
      </c>
    </row>
    <row r="1087" spans="1:7" s="10" customFormat="1" ht="18.75">
      <c r="A1087" s="243"/>
      <c r="B1087" s="348"/>
      <c r="C1087" s="244" t="s">
        <v>1174</v>
      </c>
      <c r="D1087" s="241"/>
      <c r="E1087" s="241"/>
      <c r="F1087" s="241"/>
      <c r="G1087" s="241"/>
    </row>
    <row r="1088" spans="1:7" ht="30">
      <c r="A1088" s="94" t="s">
        <v>1175</v>
      </c>
      <c r="B1088" s="97" t="s">
        <v>1176</v>
      </c>
      <c r="C1088" s="278" t="s">
        <v>1177</v>
      </c>
      <c r="D1088" s="15" t="s">
        <v>19</v>
      </c>
      <c r="E1088" s="15">
        <f>0.9*0.9*0.1</f>
        <v>0.08100000000000002</v>
      </c>
      <c r="F1088" s="15">
        <f>F1089</f>
        <v>589</v>
      </c>
      <c r="G1088" s="15">
        <f>E1088*F1088</f>
        <v>47.70900000000001</v>
      </c>
    </row>
    <row r="1089" spans="2:7" ht="30">
      <c r="B1089" s="165" t="s">
        <v>1176</v>
      </c>
      <c r="C1089" s="219" t="s">
        <v>1178</v>
      </c>
      <c r="D1089" s="2" t="s">
        <v>19</v>
      </c>
      <c r="E1089" s="2">
        <v>1</v>
      </c>
      <c r="F1089" s="2">
        <f>G1096</f>
        <v>589</v>
      </c>
      <c r="G1089" s="2">
        <f aca="true" t="shared" si="57" ref="G1089:G1095">TRUNC(E1089*F1089,2)</f>
        <v>589</v>
      </c>
    </row>
    <row r="1090" spans="2:7" ht="30">
      <c r="B1090" s="165" t="s">
        <v>982</v>
      </c>
      <c r="C1090" s="219" t="s">
        <v>983</v>
      </c>
      <c r="D1090" s="2" t="s">
        <v>18</v>
      </c>
      <c r="E1090" s="2">
        <v>2</v>
      </c>
      <c r="F1090" s="2">
        <f>TRUNC(1.5,2)</f>
        <v>1.5</v>
      </c>
      <c r="G1090" s="2">
        <f t="shared" si="57"/>
        <v>3</v>
      </c>
    </row>
    <row r="1091" spans="2:7" ht="30">
      <c r="B1091" s="165" t="s">
        <v>984</v>
      </c>
      <c r="C1091" s="219" t="s">
        <v>318</v>
      </c>
      <c r="D1091" s="2" t="s">
        <v>18</v>
      </c>
      <c r="E1091" s="2">
        <v>2.5</v>
      </c>
      <c r="F1091" s="2">
        <f>TRUNC(7.41,2)</f>
        <v>7.41</v>
      </c>
      <c r="G1091" s="2">
        <f t="shared" si="57"/>
        <v>18.52</v>
      </c>
    </row>
    <row r="1092" spans="2:7" ht="15.75">
      <c r="B1092" s="165" t="s">
        <v>54</v>
      </c>
      <c r="C1092" s="219" t="s">
        <v>55</v>
      </c>
      <c r="D1092" s="2" t="s">
        <v>52</v>
      </c>
      <c r="E1092" s="2">
        <v>4.239</v>
      </c>
      <c r="F1092" s="2">
        <f>TRUNC(21.24,2)</f>
        <v>21.24</v>
      </c>
      <c r="G1092" s="2">
        <f t="shared" si="57"/>
        <v>90.03</v>
      </c>
    </row>
    <row r="1093" spans="2:7" ht="15.75">
      <c r="B1093" s="165" t="s">
        <v>118</v>
      </c>
      <c r="C1093" s="219" t="s">
        <v>119</v>
      </c>
      <c r="D1093" s="2" t="s">
        <v>52</v>
      </c>
      <c r="E1093" s="2">
        <v>1.983</v>
      </c>
      <c r="F1093" s="2">
        <f>TRUNC(26.95,2)</f>
        <v>26.95</v>
      </c>
      <c r="G1093" s="2">
        <f t="shared" si="57"/>
        <v>53.44</v>
      </c>
    </row>
    <row r="1094" spans="2:7" ht="15.75">
      <c r="B1094" s="165" t="s">
        <v>832</v>
      </c>
      <c r="C1094" s="219" t="s">
        <v>320</v>
      </c>
      <c r="D1094" s="2" t="s">
        <v>52</v>
      </c>
      <c r="E1094" s="2">
        <v>2.256</v>
      </c>
      <c r="F1094" s="2">
        <f>TRUNC(26.56,2)</f>
        <v>26.56</v>
      </c>
      <c r="G1094" s="2">
        <f t="shared" si="57"/>
        <v>59.91</v>
      </c>
    </row>
    <row r="1095" spans="2:7" ht="30">
      <c r="B1095" s="165" t="s">
        <v>910</v>
      </c>
      <c r="C1095" s="219" t="s">
        <v>321</v>
      </c>
      <c r="D1095" s="2" t="s">
        <v>19</v>
      </c>
      <c r="E1095" s="2">
        <v>1.213</v>
      </c>
      <c r="F1095" s="2">
        <f>TRUNC(300.17,2)</f>
        <v>300.17</v>
      </c>
      <c r="G1095" s="2">
        <f t="shared" si="57"/>
        <v>364.1</v>
      </c>
    </row>
    <row r="1096" spans="5:7" ht="15.75">
      <c r="E1096" s="2" t="s">
        <v>53</v>
      </c>
      <c r="G1096" s="2">
        <f>TRUNC(SUM(G1090:G1095),2)</f>
        <v>589</v>
      </c>
    </row>
    <row r="1097" spans="1:7" ht="30">
      <c r="A1097" s="94" t="s">
        <v>1179</v>
      </c>
      <c r="B1097" s="97" t="s">
        <v>1180</v>
      </c>
      <c r="C1097" s="278" t="s">
        <v>1181</v>
      </c>
      <c r="D1097" s="15" t="s">
        <v>19</v>
      </c>
      <c r="E1097" s="15">
        <f>0.9*0.9*0.1</f>
        <v>0.08100000000000002</v>
      </c>
      <c r="F1097" s="15">
        <f>F1098</f>
        <v>316.4</v>
      </c>
      <c r="G1097" s="15">
        <f>E1097*F1097</f>
        <v>25.628400000000003</v>
      </c>
    </row>
    <row r="1098" spans="2:7" ht="30">
      <c r="B1098" s="165" t="s">
        <v>1180</v>
      </c>
      <c r="C1098" s="219" t="s">
        <v>1182</v>
      </c>
      <c r="D1098" s="2" t="s">
        <v>19</v>
      </c>
      <c r="E1098" s="2">
        <v>1</v>
      </c>
      <c r="F1098" s="2">
        <f>TRUNC(316.40835,2)</f>
        <v>316.4</v>
      </c>
      <c r="G1098" s="2">
        <f aca="true" t="shared" si="58" ref="G1098:G1105">TRUNC(E1098*F1098,2)</f>
        <v>316.4</v>
      </c>
    </row>
    <row r="1099" spans="2:7" ht="15.75">
      <c r="B1099" s="165" t="s">
        <v>911</v>
      </c>
      <c r="C1099" s="219" t="s">
        <v>427</v>
      </c>
      <c r="D1099" s="2" t="s">
        <v>19</v>
      </c>
      <c r="E1099" s="2">
        <v>0.589</v>
      </c>
      <c r="F1099" s="2">
        <f>TRUNC(62.5,2)</f>
        <v>62.5</v>
      </c>
      <c r="G1099" s="2">
        <f t="shared" si="58"/>
        <v>36.81</v>
      </c>
    </row>
    <row r="1100" spans="2:7" ht="15.75">
      <c r="B1100" s="165" t="s">
        <v>912</v>
      </c>
      <c r="C1100" s="219" t="s">
        <v>428</v>
      </c>
      <c r="D1100" s="2" t="s">
        <v>24</v>
      </c>
      <c r="E1100" s="2">
        <v>388.88</v>
      </c>
      <c r="F1100" s="2">
        <f>TRUNC(0.41,2)</f>
        <v>0.41</v>
      </c>
      <c r="G1100" s="2">
        <f t="shared" si="58"/>
        <v>159.44</v>
      </c>
    </row>
    <row r="1101" spans="2:7" ht="15.75">
      <c r="B1101" s="165" t="s">
        <v>913</v>
      </c>
      <c r="C1101" s="219" t="s">
        <v>429</v>
      </c>
      <c r="D1101" s="2" t="s">
        <v>19</v>
      </c>
      <c r="E1101" s="2">
        <v>0.735</v>
      </c>
      <c r="F1101" s="2">
        <f>TRUNC(51.43,2)</f>
        <v>51.43</v>
      </c>
      <c r="G1101" s="2">
        <f t="shared" si="58"/>
        <v>37.8</v>
      </c>
    </row>
    <row r="1102" spans="2:7" ht="15.75">
      <c r="B1102" s="165" t="s">
        <v>914</v>
      </c>
      <c r="C1102" s="219" t="s">
        <v>430</v>
      </c>
      <c r="D1102" s="2" t="s">
        <v>52</v>
      </c>
      <c r="E1102" s="2">
        <v>1.45</v>
      </c>
      <c r="F1102" s="2">
        <f>TRUNC(22.2,2)</f>
        <v>22.2</v>
      </c>
      <c r="G1102" s="2">
        <f t="shared" si="58"/>
        <v>32.19</v>
      </c>
    </row>
    <row r="1103" spans="2:7" ht="15.75">
      <c r="B1103" s="165" t="s">
        <v>54</v>
      </c>
      <c r="C1103" s="219" t="s">
        <v>55</v>
      </c>
      <c r="D1103" s="2" t="s">
        <v>52</v>
      </c>
      <c r="E1103" s="2">
        <v>2.3</v>
      </c>
      <c r="F1103" s="2">
        <f>TRUNC(21.24,2)</f>
        <v>21.24</v>
      </c>
      <c r="G1103" s="2">
        <f t="shared" si="58"/>
        <v>48.85</v>
      </c>
    </row>
    <row r="1104" spans="2:7" ht="30">
      <c r="B1104" s="165" t="s">
        <v>915</v>
      </c>
      <c r="C1104" s="219" t="s">
        <v>431</v>
      </c>
      <c r="D1104" s="2" t="s">
        <v>56</v>
      </c>
      <c r="E1104" s="2">
        <v>0.7</v>
      </c>
      <c r="F1104" s="2">
        <f>TRUNC(0.31,2)</f>
        <v>0.31</v>
      </c>
      <c r="G1104" s="2">
        <f t="shared" si="58"/>
        <v>0.21</v>
      </c>
    </row>
    <row r="1105" spans="2:7" ht="30">
      <c r="B1105" s="165" t="s">
        <v>916</v>
      </c>
      <c r="C1105" s="219" t="s">
        <v>432</v>
      </c>
      <c r="D1105" s="2" t="s">
        <v>57</v>
      </c>
      <c r="E1105" s="2">
        <v>0.75</v>
      </c>
      <c r="F1105" s="2">
        <f>TRUNC(1.46,2)</f>
        <v>1.46</v>
      </c>
      <c r="G1105" s="2">
        <f t="shared" si="58"/>
        <v>1.09</v>
      </c>
    </row>
    <row r="1106" spans="5:7" ht="15.75">
      <c r="E1106" s="2" t="s">
        <v>53</v>
      </c>
      <c r="G1106" s="2">
        <f>TRUNC(SUM(G1099:G1105),2)</f>
        <v>316.39</v>
      </c>
    </row>
    <row r="1107" spans="1:7" ht="30">
      <c r="A1107" s="94" t="s">
        <v>1183</v>
      </c>
      <c r="B1107" s="97" t="s">
        <v>1184</v>
      </c>
      <c r="C1107" s="278" t="s">
        <v>1185</v>
      </c>
      <c r="D1107" s="15" t="s">
        <v>19</v>
      </c>
      <c r="E1107" s="15">
        <f>0.9*0.9*0.1</f>
        <v>0.08100000000000002</v>
      </c>
      <c r="F1107" s="15">
        <f>F1108</f>
        <v>217.68</v>
      </c>
      <c r="G1107" s="15">
        <f>E1107*F1107</f>
        <v>17.632080000000006</v>
      </c>
    </row>
    <row r="1108" spans="2:7" ht="30">
      <c r="B1108" s="165" t="s">
        <v>1184</v>
      </c>
      <c r="C1108" s="219" t="s">
        <v>1186</v>
      </c>
      <c r="D1108" s="2" t="s">
        <v>19</v>
      </c>
      <c r="E1108" s="2">
        <v>1</v>
      </c>
      <c r="F1108" s="2">
        <f>TRUNC(217.68112,2)</f>
        <v>217.68</v>
      </c>
      <c r="G1108" s="2">
        <f aca="true" t="shared" si="59" ref="G1108:G1113">TRUNC(E1108*F1108,2)</f>
        <v>217.68</v>
      </c>
    </row>
    <row r="1109" spans="2:7" ht="15.75">
      <c r="B1109" s="165" t="s">
        <v>54</v>
      </c>
      <c r="C1109" s="219" t="s">
        <v>55</v>
      </c>
      <c r="D1109" s="2" t="s">
        <v>52</v>
      </c>
      <c r="E1109" s="2">
        <v>5.538</v>
      </c>
      <c r="F1109" s="2">
        <f>TRUNC(21.24,2)</f>
        <v>21.24</v>
      </c>
      <c r="G1109" s="2">
        <f t="shared" si="59"/>
        <v>117.62</v>
      </c>
    </row>
    <row r="1110" spans="2:7" ht="15.75">
      <c r="B1110" s="165" t="s">
        <v>118</v>
      </c>
      <c r="C1110" s="219" t="s">
        <v>119</v>
      </c>
      <c r="D1110" s="2" t="s">
        <v>52</v>
      </c>
      <c r="E1110" s="2">
        <v>1.846</v>
      </c>
      <c r="F1110" s="2">
        <f>TRUNC(26.95,2)</f>
        <v>26.95</v>
      </c>
      <c r="G1110" s="2">
        <f t="shared" si="59"/>
        <v>49.74</v>
      </c>
    </row>
    <row r="1111" spans="2:7" ht="15.75">
      <c r="B1111" s="165" t="s">
        <v>832</v>
      </c>
      <c r="C1111" s="219" t="s">
        <v>320</v>
      </c>
      <c r="D1111" s="2" t="s">
        <v>52</v>
      </c>
      <c r="E1111" s="2">
        <v>1.846</v>
      </c>
      <c r="F1111" s="2">
        <f>TRUNC(26.56,2)</f>
        <v>26.56</v>
      </c>
      <c r="G1111" s="2">
        <f t="shared" si="59"/>
        <v>49.02</v>
      </c>
    </row>
    <row r="1112" spans="2:7" ht="30">
      <c r="B1112" s="165" t="s">
        <v>822</v>
      </c>
      <c r="C1112" s="219" t="s">
        <v>823</v>
      </c>
      <c r="D1112" s="2" t="s">
        <v>56</v>
      </c>
      <c r="E1112" s="2">
        <v>1.174</v>
      </c>
      <c r="F1112" s="2">
        <f>TRUNC(0.29,2)</f>
        <v>0.29</v>
      </c>
      <c r="G1112" s="2">
        <f t="shared" si="59"/>
        <v>0.34</v>
      </c>
    </row>
    <row r="1113" spans="2:7" ht="30">
      <c r="B1113" s="165" t="s">
        <v>824</v>
      </c>
      <c r="C1113" s="219" t="s">
        <v>825</v>
      </c>
      <c r="D1113" s="2" t="s">
        <v>57</v>
      </c>
      <c r="E1113" s="2">
        <v>0.672</v>
      </c>
      <c r="F1113" s="2">
        <f>TRUNC(1.39,2)</f>
        <v>1.39</v>
      </c>
      <c r="G1113" s="2">
        <f t="shared" si="59"/>
        <v>0.93</v>
      </c>
    </row>
    <row r="1114" spans="5:7" ht="15.75">
      <c r="E1114" s="2" t="s">
        <v>53</v>
      </c>
      <c r="G1114" s="2">
        <f>TRUNC(SUM(G1109:G1113),2)</f>
        <v>217.65</v>
      </c>
    </row>
    <row r="1115" spans="1:7" ht="45">
      <c r="A1115" s="94" t="s">
        <v>1187</v>
      </c>
      <c r="B1115" s="97" t="s">
        <v>1188</v>
      </c>
      <c r="C1115" s="278" t="s">
        <v>1189</v>
      </c>
      <c r="D1115" s="15" t="s">
        <v>15</v>
      </c>
      <c r="E1115" s="15">
        <f>1.3*0.9+1.3*0.8*2</f>
        <v>3.25</v>
      </c>
      <c r="F1115" s="15">
        <f>F1116</f>
        <v>53.03</v>
      </c>
      <c r="G1115" s="15">
        <f>E1115*F1115</f>
        <v>172.3475</v>
      </c>
    </row>
    <row r="1116" spans="2:7" ht="45">
      <c r="B1116" s="165" t="s">
        <v>1188</v>
      </c>
      <c r="C1116" s="219" t="s">
        <v>1189</v>
      </c>
      <c r="D1116" s="2" t="s">
        <v>15</v>
      </c>
      <c r="E1116" s="2">
        <v>1</v>
      </c>
      <c r="F1116" s="2">
        <f>G1123</f>
        <v>53.03</v>
      </c>
      <c r="G1116" s="2">
        <f aca="true" t="shared" si="60" ref="G1116:G1122">TRUNC(E1116*F1116,2)</f>
        <v>53.03</v>
      </c>
    </row>
    <row r="1117" spans="2:7" ht="15.75">
      <c r="B1117" s="165" t="s">
        <v>1190</v>
      </c>
      <c r="C1117" s="219" t="s">
        <v>1191</v>
      </c>
      <c r="D1117" s="2" t="s">
        <v>564</v>
      </c>
      <c r="E1117" s="2">
        <v>0.0094</v>
      </c>
      <c r="F1117" s="2">
        <f>TRUNC(40.61,2)</f>
        <v>40.61</v>
      </c>
      <c r="G1117" s="2">
        <f t="shared" si="60"/>
        <v>0.38</v>
      </c>
    </row>
    <row r="1118" spans="2:7" ht="30">
      <c r="B1118" s="165" t="s">
        <v>1192</v>
      </c>
      <c r="C1118" s="219" t="s">
        <v>1193</v>
      </c>
      <c r="D1118" s="2" t="s">
        <v>18</v>
      </c>
      <c r="E1118" s="2">
        <v>0.785</v>
      </c>
      <c r="F1118" s="2">
        <f>TRUNC(1.5,2)</f>
        <v>1.5</v>
      </c>
      <c r="G1118" s="2">
        <f t="shared" si="60"/>
        <v>1.17</v>
      </c>
    </row>
    <row r="1119" spans="2:7" ht="15.75">
      <c r="B1119" s="165" t="s">
        <v>1194</v>
      </c>
      <c r="C1119" s="219" t="s">
        <v>1195</v>
      </c>
      <c r="D1119" s="2" t="s">
        <v>21</v>
      </c>
      <c r="E1119" s="2">
        <v>13.5</v>
      </c>
      <c r="F1119" s="2">
        <f>TRUNC(1.5,2)</f>
        <v>1.5</v>
      </c>
      <c r="G1119" s="2">
        <f t="shared" si="60"/>
        <v>20.25</v>
      </c>
    </row>
    <row r="1120" spans="2:7" ht="15.75">
      <c r="B1120" s="165" t="s">
        <v>54</v>
      </c>
      <c r="C1120" s="219" t="s">
        <v>55</v>
      </c>
      <c r="D1120" s="2" t="s">
        <v>52</v>
      </c>
      <c r="E1120" s="2">
        <v>0.36</v>
      </c>
      <c r="F1120" s="2">
        <f>TRUNC(21.24,2)</f>
        <v>21.24</v>
      </c>
      <c r="G1120" s="2">
        <f t="shared" si="60"/>
        <v>7.64</v>
      </c>
    </row>
    <row r="1121" spans="2:7" ht="15.75">
      <c r="B1121" s="165" t="s">
        <v>118</v>
      </c>
      <c r="C1121" s="219" t="s">
        <v>119</v>
      </c>
      <c r="D1121" s="2" t="s">
        <v>52</v>
      </c>
      <c r="E1121" s="2">
        <v>0.72</v>
      </c>
      <c r="F1121" s="2">
        <f>TRUNC(26.95,2)</f>
        <v>26.95</v>
      </c>
      <c r="G1121" s="2">
        <f t="shared" si="60"/>
        <v>19.4</v>
      </c>
    </row>
    <row r="1122" spans="2:7" ht="30">
      <c r="B1122" s="165" t="s">
        <v>1196</v>
      </c>
      <c r="C1122" s="219" t="s">
        <v>1197</v>
      </c>
      <c r="D1122" s="2" t="s">
        <v>19</v>
      </c>
      <c r="E1122" s="2">
        <v>0.008</v>
      </c>
      <c r="F1122" s="2">
        <f>TRUNC(524.11,2)</f>
        <v>524.11</v>
      </c>
      <c r="G1122" s="2">
        <f t="shared" si="60"/>
        <v>4.19</v>
      </c>
    </row>
    <row r="1123" spans="5:7" ht="15.75">
      <c r="E1123" s="2" t="s">
        <v>53</v>
      </c>
      <c r="G1123" s="2">
        <f>TRUNC(SUM(G1117:G1122),2)</f>
        <v>53.03</v>
      </c>
    </row>
    <row r="1124" spans="1:7" ht="45">
      <c r="A1124" s="94" t="s">
        <v>1198</v>
      </c>
      <c r="B1124" s="97" t="s">
        <v>1199</v>
      </c>
      <c r="C1124" s="278" t="s">
        <v>1200</v>
      </c>
      <c r="D1124" s="15" t="s">
        <v>15</v>
      </c>
      <c r="E1124" s="15">
        <f>1.3*0.9+1.3*0.8*2</f>
        <v>3.25</v>
      </c>
      <c r="F1124" s="15">
        <f>F1125</f>
        <v>40.73</v>
      </c>
      <c r="G1124" s="15">
        <f>E1124*F1124</f>
        <v>132.3725</v>
      </c>
    </row>
    <row r="1125" spans="2:7" ht="45">
      <c r="B1125" s="165" t="s">
        <v>1199</v>
      </c>
      <c r="C1125" s="219" t="s">
        <v>1200</v>
      </c>
      <c r="D1125" s="2" t="s">
        <v>15</v>
      </c>
      <c r="E1125" s="2">
        <v>1</v>
      </c>
      <c r="F1125" s="2">
        <f>G1129</f>
        <v>40.73</v>
      </c>
      <c r="G1125" s="2">
        <f>TRUNC(E1125*F1125,2)</f>
        <v>40.73</v>
      </c>
    </row>
    <row r="1126" spans="2:7" ht="15.75">
      <c r="B1126" s="165" t="s">
        <v>50</v>
      </c>
      <c r="C1126" s="219" t="s">
        <v>51</v>
      </c>
      <c r="D1126" s="2" t="s">
        <v>52</v>
      </c>
      <c r="E1126" s="2">
        <v>0.8240000000000001</v>
      </c>
      <c r="F1126" s="2">
        <f>TRUNC(14.47,2)</f>
        <v>14.47</v>
      </c>
      <c r="G1126" s="2">
        <f>TRUNC(E1126*F1126,2)</f>
        <v>11.92</v>
      </c>
    </row>
    <row r="1127" spans="2:7" ht="15.75">
      <c r="B1127" s="165" t="s">
        <v>794</v>
      </c>
      <c r="C1127" s="219" t="s">
        <v>795</v>
      </c>
      <c r="D1127" s="2" t="s">
        <v>52</v>
      </c>
      <c r="E1127" s="2">
        <v>0.8240000000000001</v>
      </c>
      <c r="F1127" s="2">
        <f>TRUNC(19.97,2)</f>
        <v>19.97</v>
      </c>
      <c r="G1127" s="2">
        <f>TRUNC(E1127*F1127,2)</f>
        <v>16.45</v>
      </c>
    </row>
    <row r="1128" spans="2:7" ht="15.75">
      <c r="B1128" s="165" t="s">
        <v>1201</v>
      </c>
      <c r="C1128" s="219" t="s">
        <v>1202</v>
      </c>
      <c r="D1128" s="2" t="s">
        <v>19</v>
      </c>
      <c r="E1128" s="2">
        <v>0.055</v>
      </c>
      <c r="F1128" s="2">
        <f>TRUNC(224.8579,2)</f>
        <v>224.85</v>
      </c>
      <c r="G1128" s="2">
        <f>TRUNC(E1128*F1128,2)</f>
        <v>12.36</v>
      </c>
    </row>
    <row r="1129" spans="5:7" ht="15.75">
      <c r="E1129" s="2" t="s">
        <v>53</v>
      </c>
      <c r="G1129" s="2">
        <f>TRUNC(SUM(G1126:G1128),2)</f>
        <v>40.73</v>
      </c>
    </row>
    <row r="1130" spans="1:8" ht="30">
      <c r="A1130" s="94" t="s">
        <v>1203</v>
      </c>
      <c r="B1130" s="97" t="s">
        <v>1204</v>
      </c>
      <c r="C1130" s="278" t="s">
        <v>1205</v>
      </c>
      <c r="D1130" s="15" t="s">
        <v>15</v>
      </c>
      <c r="E1130" s="15">
        <f>(1.3*0.9+1.3*0.8*2)*2+0.9*0.9</f>
        <v>7.3100000000000005</v>
      </c>
      <c r="F1130" s="15">
        <f>F1131</f>
        <v>4</v>
      </c>
      <c r="G1130" s="15">
        <f>E1130*F1130</f>
        <v>29.240000000000002</v>
      </c>
      <c r="H1130" s="2" t="s">
        <v>1206</v>
      </c>
    </row>
    <row r="1131" spans="2:7" ht="30">
      <c r="B1131" s="165" t="s">
        <v>1204</v>
      </c>
      <c r="C1131" s="219" t="s">
        <v>1205</v>
      </c>
      <c r="D1131" s="2" t="s">
        <v>15</v>
      </c>
      <c r="E1131" s="2">
        <v>1</v>
      </c>
      <c r="F1131" s="2">
        <f>TRUNC(4.005988,2)</f>
        <v>4</v>
      </c>
      <c r="G1131" s="2">
        <f>TRUNC(E1131*F1131,2)</f>
        <v>4</v>
      </c>
    </row>
    <row r="1132" spans="2:7" ht="15.75">
      <c r="B1132" s="165" t="s">
        <v>54</v>
      </c>
      <c r="C1132" s="219" t="s">
        <v>55</v>
      </c>
      <c r="D1132" s="2" t="s">
        <v>52</v>
      </c>
      <c r="E1132" s="2">
        <v>0.007</v>
      </c>
      <c r="F1132" s="2">
        <f>TRUNC(21.24,2)</f>
        <v>21.24</v>
      </c>
      <c r="G1132" s="2">
        <f>TRUNC(E1132*F1132,2)</f>
        <v>0.14</v>
      </c>
    </row>
    <row r="1133" spans="2:7" ht="15.75">
      <c r="B1133" s="165" t="s">
        <v>118</v>
      </c>
      <c r="C1133" s="219" t="s">
        <v>119</v>
      </c>
      <c r="D1133" s="2" t="s">
        <v>52</v>
      </c>
      <c r="E1133" s="2">
        <v>0.07</v>
      </c>
      <c r="F1133" s="2">
        <f>TRUNC(26.95,2)</f>
        <v>26.95</v>
      </c>
      <c r="G1133" s="2">
        <f>TRUNC(E1133*F1133,2)</f>
        <v>1.88</v>
      </c>
    </row>
    <row r="1134" spans="2:7" ht="30">
      <c r="B1134" s="165" t="s">
        <v>1207</v>
      </c>
      <c r="C1134" s="219" t="s">
        <v>1208</v>
      </c>
      <c r="D1134" s="2" t="s">
        <v>19</v>
      </c>
      <c r="E1134" s="2">
        <v>0.0042</v>
      </c>
      <c r="F1134" s="2">
        <f>TRUNC(469.24,2)</f>
        <v>469.24</v>
      </c>
      <c r="G1134" s="2">
        <f>TRUNC(E1134*F1134,2)</f>
        <v>1.97</v>
      </c>
    </row>
    <row r="1135" spans="5:7" ht="15.75">
      <c r="E1135" s="2" t="s">
        <v>53</v>
      </c>
      <c r="G1135" s="2">
        <f>TRUNC(SUM(G1132:G1134),2)</f>
        <v>3.99</v>
      </c>
    </row>
    <row r="1136" spans="1:8" ht="60">
      <c r="A1136" s="94" t="s">
        <v>1209</v>
      </c>
      <c r="B1136" s="97" t="s">
        <v>1210</v>
      </c>
      <c r="C1136" s="278" t="s">
        <v>1211</v>
      </c>
      <c r="D1136" s="15" t="s">
        <v>15</v>
      </c>
      <c r="E1136" s="15">
        <f>(1.3*0.9+1.3*0.8*2)*2+0.9*0.9</f>
        <v>7.3100000000000005</v>
      </c>
      <c r="F1136" s="15">
        <f>F1137</f>
        <v>35.06</v>
      </c>
      <c r="G1136" s="15">
        <f>E1136*F1136</f>
        <v>256.28860000000003</v>
      </c>
      <c r="H1136" s="2" t="s">
        <v>1206</v>
      </c>
    </row>
    <row r="1137" spans="2:7" ht="60">
      <c r="B1137" s="165" t="s">
        <v>1210</v>
      </c>
      <c r="C1137" s="219" t="s">
        <v>1211</v>
      </c>
      <c r="D1137" s="2" t="s">
        <v>15</v>
      </c>
      <c r="E1137" s="2">
        <v>1</v>
      </c>
      <c r="F1137" s="2">
        <f>G1141</f>
        <v>35.06</v>
      </c>
      <c r="G1137" s="2">
        <f>TRUNC(E1137*F1137,2)</f>
        <v>35.06</v>
      </c>
    </row>
    <row r="1138" spans="2:7" ht="15.75">
      <c r="B1138" s="165" t="s">
        <v>54</v>
      </c>
      <c r="C1138" s="219" t="s">
        <v>55</v>
      </c>
      <c r="D1138" s="2" t="s">
        <v>52</v>
      </c>
      <c r="E1138" s="2">
        <v>0.211</v>
      </c>
      <c r="F1138" s="2">
        <f>TRUNC(21.24,2)</f>
        <v>21.24</v>
      </c>
      <c r="G1138" s="2">
        <f>TRUNC(E1138*F1138,2)</f>
        <v>4.48</v>
      </c>
    </row>
    <row r="1139" spans="2:7" ht="15.75">
      <c r="B1139" s="165" t="s">
        <v>118</v>
      </c>
      <c r="C1139" s="219" t="s">
        <v>119</v>
      </c>
      <c r="D1139" s="2" t="s">
        <v>52</v>
      </c>
      <c r="E1139" s="2">
        <v>0.58</v>
      </c>
      <c r="F1139" s="2">
        <f>TRUNC(26.95,2)</f>
        <v>26.95</v>
      </c>
      <c r="G1139" s="2">
        <f>TRUNC(E1139*F1139,2)</f>
        <v>15.63</v>
      </c>
    </row>
    <row r="1140" spans="2:7" ht="45">
      <c r="B1140" s="165" t="s">
        <v>858</v>
      </c>
      <c r="C1140" s="219" t="s">
        <v>859</v>
      </c>
      <c r="D1140" s="2" t="s">
        <v>19</v>
      </c>
      <c r="E1140" s="2">
        <v>0.0376</v>
      </c>
      <c r="F1140" s="2">
        <f>TRUNC(397.84,2)</f>
        <v>397.84</v>
      </c>
      <c r="G1140" s="2">
        <f>TRUNC(E1140*F1140,2)</f>
        <v>14.95</v>
      </c>
    </row>
    <row r="1141" spans="5:7" ht="15.75">
      <c r="E1141" s="2" t="s">
        <v>53</v>
      </c>
      <c r="G1141" s="2">
        <f>TRUNC(SUM(G1138:G1140),2)</f>
        <v>35.06</v>
      </c>
    </row>
    <row r="1142" spans="1:8" s="52" customFormat="1" ht="15.75">
      <c r="A1142" s="170" t="s">
        <v>1212</v>
      </c>
      <c r="B1142" s="141" t="s">
        <v>1213</v>
      </c>
      <c r="C1142" s="255" t="s">
        <v>1214</v>
      </c>
      <c r="D1142" s="256" t="s">
        <v>15</v>
      </c>
      <c r="E1142" s="256">
        <f>0.15*0.1*2</f>
        <v>0.03</v>
      </c>
      <c r="F1142" s="256">
        <f>F1143</f>
        <v>412.93</v>
      </c>
      <c r="G1142" s="256">
        <f>E1142*F1142</f>
        <v>12.3879</v>
      </c>
      <c r="H1142" s="52" t="s">
        <v>1215</v>
      </c>
    </row>
    <row r="1143" spans="2:7" ht="15.75">
      <c r="B1143" s="165" t="s">
        <v>1213</v>
      </c>
      <c r="C1143" s="219" t="s">
        <v>1214</v>
      </c>
      <c r="D1143" s="2" t="s">
        <v>15</v>
      </c>
      <c r="E1143" s="2">
        <v>1</v>
      </c>
      <c r="F1143" s="2">
        <f>G1150</f>
        <v>412.93</v>
      </c>
      <c r="G1143" s="2">
        <f aca="true" t="shared" si="61" ref="G1143:G1149">TRUNC(E1143*F1143,2)</f>
        <v>412.93</v>
      </c>
    </row>
    <row r="1144" spans="2:7" ht="30">
      <c r="B1144" s="165" t="s">
        <v>1216</v>
      </c>
      <c r="C1144" s="219" t="s">
        <v>1217</v>
      </c>
      <c r="D1144" s="2" t="s">
        <v>15</v>
      </c>
      <c r="E1144" s="2">
        <v>1</v>
      </c>
      <c r="F1144" s="2">
        <f>TRUNC(76.15,2)</f>
        <v>76.15</v>
      </c>
      <c r="G1144" s="2">
        <f t="shared" si="61"/>
        <v>76.15</v>
      </c>
    </row>
    <row r="1145" spans="2:7" ht="30">
      <c r="B1145" s="165" t="s">
        <v>1218</v>
      </c>
      <c r="C1145" s="219" t="s">
        <v>1219</v>
      </c>
      <c r="D1145" s="2" t="s">
        <v>15</v>
      </c>
      <c r="E1145" s="2">
        <v>1</v>
      </c>
      <c r="F1145" s="2">
        <f>TRUNC(237.99,2)</f>
        <v>237.99</v>
      </c>
      <c r="G1145" s="2">
        <f t="shared" si="61"/>
        <v>237.99</v>
      </c>
    </row>
    <row r="1146" spans="2:7" ht="15.75">
      <c r="B1146" s="165" t="s">
        <v>54</v>
      </c>
      <c r="C1146" s="219" t="s">
        <v>55</v>
      </c>
      <c r="D1146" s="2" t="s">
        <v>52</v>
      </c>
      <c r="E1146" s="2">
        <v>2</v>
      </c>
      <c r="F1146" s="2">
        <f>TRUNC(21.24,2)</f>
        <v>21.24</v>
      </c>
      <c r="G1146" s="2">
        <f t="shared" si="61"/>
        <v>42.48</v>
      </c>
    </row>
    <row r="1147" spans="2:7" ht="15.75">
      <c r="B1147" s="165" t="s">
        <v>939</v>
      </c>
      <c r="C1147" s="219" t="s">
        <v>392</v>
      </c>
      <c r="D1147" s="2" t="s">
        <v>52</v>
      </c>
      <c r="E1147" s="2">
        <v>1.2</v>
      </c>
      <c r="F1147" s="2">
        <f>TRUNC(26.8,2)</f>
        <v>26.8</v>
      </c>
      <c r="G1147" s="2">
        <f t="shared" si="61"/>
        <v>32.16</v>
      </c>
    </row>
    <row r="1148" spans="2:7" ht="15.75">
      <c r="B1148" s="165" t="s">
        <v>118</v>
      </c>
      <c r="C1148" s="219" t="s">
        <v>119</v>
      </c>
      <c r="D1148" s="2" t="s">
        <v>52</v>
      </c>
      <c r="E1148" s="2">
        <v>0.8</v>
      </c>
      <c r="F1148" s="2">
        <f>TRUNC(26.95,2)</f>
        <v>26.95</v>
      </c>
      <c r="G1148" s="2">
        <f t="shared" si="61"/>
        <v>21.56</v>
      </c>
    </row>
    <row r="1149" spans="2:7" ht="30">
      <c r="B1149" s="165" t="s">
        <v>1220</v>
      </c>
      <c r="C1149" s="219" t="s">
        <v>1221</v>
      </c>
      <c r="D1149" s="2" t="s">
        <v>19</v>
      </c>
      <c r="E1149" s="2">
        <v>0.006</v>
      </c>
      <c r="F1149" s="2">
        <f>TRUNC(432.92,2)</f>
        <v>432.92</v>
      </c>
      <c r="G1149" s="2">
        <f t="shared" si="61"/>
        <v>2.59</v>
      </c>
    </row>
    <row r="1150" spans="5:7" ht="15.75">
      <c r="E1150" s="2" t="s">
        <v>53</v>
      </c>
      <c r="G1150" s="2">
        <f>TRUNC(SUM(G1144:G1149),2)</f>
        <v>412.93</v>
      </c>
    </row>
    <row r="1151" spans="1:7" ht="30">
      <c r="A1151" s="94" t="s">
        <v>1222</v>
      </c>
      <c r="B1151" s="97" t="s">
        <v>1223</v>
      </c>
      <c r="C1151" s="278" t="s">
        <v>1224</v>
      </c>
      <c r="D1151" s="15" t="s">
        <v>15</v>
      </c>
      <c r="E1151" s="15">
        <f>0.7*0.7</f>
        <v>0.48999999999999994</v>
      </c>
      <c r="F1151" s="15">
        <f>F1152</f>
        <v>27.87</v>
      </c>
      <c r="G1151" s="15">
        <f>E1151*F1151</f>
        <v>13.656299999999998</v>
      </c>
    </row>
    <row r="1152" spans="2:7" ht="30">
      <c r="B1152" s="165" t="s">
        <v>1223</v>
      </c>
      <c r="C1152" s="219" t="s">
        <v>1224</v>
      </c>
      <c r="D1152" s="2" t="s">
        <v>15</v>
      </c>
      <c r="E1152" s="2">
        <v>1</v>
      </c>
      <c r="F1152" s="2">
        <f>G1158</f>
        <v>27.87</v>
      </c>
      <c r="G1152" s="2">
        <f aca="true" t="shared" si="62" ref="G1152:G1157">TRUNC(E1152*F1152,2)</f>
        <v>27.87</v>
      </c>
    </row>
    <row r="1153" spans="2:7" ht="15.75">
      <c r="B1153" s="165" t="s">
        <v>1225</v>
      </c>
      <c r="C1153" s="219" t="s">
        <v>1226</v>
      </c>
      <c r="D1153" s="2" t="s">
        <v>18</v>
      </c>
      <c r="E1153" s="2">
        <v>1.67</v>
      </c>
      <c r="F1153" s="2">
        <f>TRUNC(0.9,2)</f>
        <v>0.9</v>
      </c>
      <c r="G1153" s="2">
        <f t="shared" si="62"/>
        <v>1.5</v>
      </c>
    </row>
    <row r="1154" spans="2:7" ht="15.75">
      <c r="B1154" s="165" t="s">
        <v>912</v>
      </c>
      <c r="C1154" s="219" t="s">
        <v>428</v>
      </c>
      <c r="D1154" s="2" t="s">
        <v>24</v>
      </c>
      <c r="E1154" s="2">
        <v>0.5</v>
      </c>
      <c r="F1154" s="2">
        <f>TRUNC(0.41,2)</f>
        <v>0.41</v>
      </c>
      <c r="G1154" s="2">
        <f t="shared" si="62"/>
        <v>0.2</v>
      </c>
    </row>
    <row r="1155" spans="2:7" ht="15.75">
      <c r="B1155" s="165" t="s">
        <v>54</v>
      </c>
      <c r="C1155" s="219" t="s">
        <v>55</v>
      </c>
      <c r="D1155" s="2" t="s">
        <v>52</v>
      </c>
      <c r="E1155" s="2">
        <v>0.177</v>
      </c>
      <c r="F1155" s="2">
        <f>TRUNC(21.24,2)</f>
        <v>21.24</v>
      </c>
      <c r="G1155" s="2">
        <f t="shared" si="62"/>
        <v>3.75</v>
      </c>
    </row>
    <row r="1156" spans="2:7" ht="15.75">
      <c r="B1156" s="165" t="s">
        <v>118</v>
      </c>
      <c r="C1156" s="219" t="s">
        <v>119</v>
      </c>
      <c r="D1156" s="2" t="s">
        <v>52</v>
      </c>
      <c r="E1156" s="2">
        <v>0.354</v>
      </c>
      <c r="F1156" s="2">
        <f>TRUNC(26.95,2)</f>
        <v>26.95</v>
      </c>
      <c r="G1156" s="2">
        <f t="shared" si="62"/>
        <v>9.54</v>
      </c>
    </row>
    <row r="1157" spans="2:7" ht="30">
      <c r="B1157" s="165" t="s">
        <v>1227</v>
      </c>
      <c r="C1157" s="219" t="s">
        <v>1228</v>
      </c>
      <c r="D1157" s="2" t="s">
        <v>19</v>
      </c>
      <c r="E1157" s="2">
        <v>0.031</v>
      </c>
      <c r="F1157" s="2">
        <f>TRUNC(415.71,2)</f>
        <v>415.71</v>
      </c>
      <c r="G1157" s="2">
        <f t="shared" si="62"/>
        <v>12.88</v>
      </c>
    </row>
    <row r="1158" spans="5:7" ht="15.75">
      <c r="E1158" s="2" t="s">
        <v>53</v>
      </c>
      <c r="G1158" s="2">
        <f>TRUNC(SUM(G1153:G1157),2)</f>
        <v>27.87</v>
      </c>
    </row>
    <row r="1159" spans="1:7" s="52" customFormat="1" ht="15.75">
      <c r="A1159" s="621" t="s">
        <v>1229</v>
      </c>
      <c r="B1159" s="141" t="s">
        <v>1240</v>
      </c>
      <c r="C1159" s="255" t="s">
        <v>1241</v>
      </c>
      <c r="D1159" s="256" t="s">
        <v>15</v>
      </c>
      <c r="E1159" s="256">
        <v>0.6</v>
      </c>
      <c r="F1159" s="256">
        <f>F1160</f>
        <v>546.09</v>
      </c>
      <c r="G1159" s="256">
        <f>E1159*F1159</f>
        <v>327.654</v>
      </c>
    </row>
    <row r="1160" spans="1:7" s="52" customFormat="1" ht="15.75">
      <c r="A1160" s="389"/>
      <c r="B1160" s="399" t="s">
        <v>1240</v>
      </c>
      <c r="C1160" s="230" t="s">
        <v>1241</v>
      </c>
      <c r="D1160" s="59" t="s">
        <v>15</v>
      </c>
      <c r="E1160" s="59">
        <v>1</v>
      </c>
      <c r="F1160" s="59">
        <f>G1166</f>
        <v>546.09</v>
      </c>
      <c r="G1160" s="59">
        <f aca="true" t="shared" si="63" ref="G1160:G1165">TRUNC(E1160*F1160,2)</f>
        <v>546.09</v>
      </c>
    </row>
    <row r="1161" spans="1:7" s="52" customFormat="1" ht="30">
      <c r="A1161" s="389"/>
      <c r="B1161" s="399" t="s">
        <v>1242</v>
      </c>
      <c r="C1161" s="230" t="s">
        <v>1243</v>
      </c>
      <c r="D1161" s="59" t="s">
        <v>15</v>
      </c>
      <c r="E1161" s="59">
        <v>1</v>
      </c>
      <c r="F1161" s="59">
        <f>TRUNC(419.59,2)</f>
        <v>419.59</v>
      </c>
      <c r="G1161" s="59">
        <f t="shared" si="63"/>
        <v>419.59</v>
      </c>
    </row>
    <row r="1162" spans="1:7" s="52" customFormat="1" ht="15.75">
      <c r="A1162" s="389"/>
      <c r="B1162" s="399" t="s">
        <v>54</v>
      </c>
      <c r="C1162" s="230" t="s">
        <v>55</v>
      </c>
      <c r="D1162" s="59" t="s">
        <v>52</v>
      </c>
      <c r="E1162" s="59">
        <v>2.8</v>
      </c>
      <c r="F1162" s="59">
        <f>TRUNC(21.24,2)</f>
        <v>21.24</v>
      </c>
      <c r="G1162" s="59">
        <f t="shared" si="63"/>
        <v>59.47</v>
      </c>
    </row>
    <row r="1163" spans="1:7" s="52" customFormat="1" ht="15.75">
      <c r="A1163" s="389"/>
      <c r="B1163" s="399" t="s">
        <v>939</v>
      </c>
      <c r="C1163" s="230" t="s">
        <v>392</v>
      </c>
      <c r="D1163" s="59" t="s">
        <v>52</v>
      </c>
      <c r="E1163" s="59">
        <v>1.6</v>
      </c>
      <c r="F1163" s="59">
        <f>TRUNC(26.8,2)</f>
        <v>26.8</v>
      </c>
      <c r="G1163" s="59">
        <f t="shared" si="63"/>
        <v>42.88</v>
      </c>
    </row>
    <row r="1164" spans="1:7" s="52" customFormat="1" ht="15.75">
      <c r="A1164" s="389"/>
      <c r="B1164" s="399" t="s">
        <v>118</v>
      </c>
      <c r="C1164" s="230" t="s">
        <v>119</v>
      </c>
      <c r="D1164" s="59" t="s">
        <v>52</v>
      </c>
      <c r="E1164" s="59">
        <v>0.8</v>
      </c>
      <c r="F1164" s="59">
        <f>TRUNC(26.95,2)</f>
        <v>26.95</v>
      </c>
      <c r="G1164" s="59">
        <f t="shared" si="63"/>
        <v>21.56</v>
      </c>
    </row>
    <row r="1165" spans="1:7" s="52" customFormat="1" ht="30">
      <c r="A1165" s="389"/>
      <c r="B1165" s="399" t="s">
        <v>1220</v>
      </c>
      <c r="C1165" s="230" t="s">
        <v>1221</v>
      </c>
      <c r="D1165" s="59" t="s">
        <v>19</v>
      </c>
      <c r="E1165" s="59">
        <v>0.006</v>
      </c>
      <c r="F1165" s="59">
        <f>TRUNC(432.92,2)</f>
        <v>432.92</v>
      </c>
      <c r="G1165" s="59">
        <f t="shared" si="63"/>
        <v>2.59</v>
      </c>
    </row>
    <row r="1166" spans="1:7" s="52" customFormat="1" ht="15.75">
      <c r="A1166" s="389"/>
      <c r="B1166" s="399"/>
      <c r="C1166" s="230"/>
      <c r="D1166" s="59"/>
      <c r="E1166" s="59" t="s">
        <v>53</v>
      </c>
      <c r="F1166" s="59"/>
      <c r="G1166" s="59">
        <f>TRUNC(SUM(G1161:G1165),2)</f>
        <v>546.09</v>
      </c>
    </row>
    <row r="1167" spans="1:7" ht="30">
      <c r="A1167" s="94" t="s">
        <v>1230</v>
      </c>
      <c r="B1167" s="97" t="s">
        <v>1259</v>
      </c>
      <c r="C1167" s="278" t="s">
        <v>1260</v>
      </c>
      <c r="D1167" s="15" t="s">
        <v>18</v>
      </c>
      <c r="E1167" s="15">
        <v>8</v>
      </c>
      <c r="F1167" s="15">
        <f>F1168</f>
        <v>10.02</v>
      </c>
      <c r="G1167" s="15">
        <f>E1167*F1167</f>
        <v>80.16</v>
      </c>
    </row>
    <row r="1168" spans="1:7" s="52" customFormat="1" ht="30">
      <c r="A1168" s="389"/>
      <c r="B1168" s="399" t="s">
        <v>1259</v>
      </c>
      <c r="C1168" s="230" t="s">
        <v>1260</v>
      </c>
      <c r="D1168" s="59" t="s">
        <v>18</v>
      </c>
      <c r="E1168" s="59">
        <v>1</v>
      </c>
      <c r="F1168" s="59">
        <f>G1172</f>
        <v>10.02</v>
      </c>
      <c r="G1168" s="59">
        <f>TRUNC(E1168*F1168,2)</f>
        <v>10.02</v>
      </c>
    </row>
    <row r="1169" spans="1:7" s="52" customFormat="1" ht="15.75">
      <c r="A1169" s="389"/>
      <c r="B1169" s="399" t="s">
        <v>1258</v>
      </c>
      <c r="C1169" s="230" t="s">
        <v>1257</v>
      </c>
      <c r="D1169" s="59" t="s">
        <v>18</v>
      </c>
      <c r="E1169" s="59">
        <v>1.017</v>
      </c>
      <c r="F1169" s="59">
        <v>2.13</v>
      </c>
      <c r="G1169" s="59">
        <f>TRUNC(E1169*F1169,2)</f>
        <v>2.16</v>
      </c>
    </row>
    <row r="1170" spans="1:7" s="52" customFormat="1" ht="15.75">
      <c r="A1170" s="389"/>
      <c r="B1170" s="399" t="s">
        <v>819</v>
      </c>
      <c r="C1170" s="230" t="s">
        <v>120</v>
      </c>
      <c r="D1170" s="59" t="s">
        <v>52</v>
      </c>
      <c r="E1170" s="59">
        <v>0.164</v>
      </c>
      <c r="F1170" s="59">
        <f>TRUNC(26.96,2)</f>
        <v>26.96</v>
      </c>
      <c r="G1170" s="59">
        <f>TRUNC(E1170*F1170,2)</f>
        <v>4.42</v>
      </c>
    </row>
    <row r="1171" spans="1:7" s="52" customFormat="1" ht="15.75">
      <c r="A1171" s="389"/>
      <c r="B1171" s="399" t="s">
        <v>1103</v>
      </c>
      <c r="C1171" s="230" t="s">
        <v>1104</v>
      </c>
      <c r="D1171" s="59" t="s">
        <v>52</v>
      </c>
      <c r="E1171" s="59">
        <v>0.164</v>
      </c>
      <c r="F1171" s="59">
        <f>TRUNC(20.98,2)</f>
        <v>20.98</v>
      </c>
      <c r="G1171" s="59">
        <f>TRUNC(E1171*F1171,2)</f>
        <v>3.44</v>
      </c>
    </row>
    <row r="1172" spans="1:7" s="52" customFormat="1" ht="15.75">
      <c r="A1172" s="389"/>
      <c r="B1172" s="399"/>
      <c r="C1172" s="230"/>
      <c r="D1172" s="59"/>
      <c r="E1172" s="59" t="s">
        <v>53</v>
      </c>
      <c r="F1172" s="59"/>
      <c r="G1172" s="59">
        <f>TRUNC(SUM(G1169:G1171),2)</f>
        <v>10.02</v>
      </c>
    </row>
    <row r="1173" spans="1:7" ht="45">
      <c r="A1173" s="94" t="s">
        <v>1247</v>
      </c>
      <c r="B1173" s="97" t="s">
        <v>1251</v>
      </c>
      <c r="C1173" s="278" t="s">
        <v>1252</v>
      </c>
      <c r="D1173" s="15" t="s">
        <v>18</v>
      </c>
      <c r="E1173" s="15">
        <v>9</v>
      </c>
      <c r="F1173" s="15">
        <f>F1174</f>
        <v>36.33</v>
      </c>
      <c r="G1173" s="15">
        <f>E1173*F1173</f>
        <v>326.96999999999997</v>
      </c>
    </row>
    <row r="1174" spans="1:7" s="52" customFormat="1" ht="45">
      <c r="A1174" s="389"/>
      <c r="B1174" s="399" t="s">
        <v>1251</v>
      </c>
      <c r="C1174" s="230" t="s">
        <v>1252</v>
      </c>
      <c r="D1174" s="59" t="s">
        <v>18</v>
      </c>
      <c r="E1174" s="59">
        <v>1</v>
      </c>
      <c r="F1174" s="59">
        <f>G1179</f>
        <v>36.33</v>
      </c>
      <c r="G1174" s="59">
        <f>TRUNC(E1174*F1174,2)</f>
        <v>36.33</v>
      </c>
    </row>
    <row r="1175" spans="1:7" s="52" customFormat="1" ht="45">
      <c r="A1175" s="389"/>
      <c r="B1175" s="399" t="s">
        <v>1253</v>
      </c>
      <c r="C1175" s="230" t="s">
        <v>1254</v>
      </c>
      <c r="D1175" s="59" t="s">
        <v>18</v>
      </c>
      <c r="E1175" s="59">
        <v>1.0211</v>
      </c>
      <c r="F1175" s="59">
        <f>TRUNC(15.36,2)</f>
        <v>15.36</v>
      </c>
      <c r="G1175" s="59">
        <f>TRUNC(E1175*F1175,2)</f>
        <v>15.68</v>
      </c>
    </row>
    <row r="1176" spans="1:7" s="52" customFormat="1" ht="30">
      <c r="A1176" s="389"/>
      <c r="B1176" s="399" t="s">
        <v>1255</v>
      </c>
      <c r="C1176" s="230" t="s">
        <v>1256</v>
      </c>
      <c r="D1176" s="59" t="s">
        <v>18</v>
      </c>
      <c r="E1176" s="59">
        <v>1.0211</v>
      </c>
      <c r="F1176" s="59">
        <f>TRUNC(17.59,2)</f>
        <v>17.59</v>
      </c>
      <c r="G1176" s="59">
        <f>TRUNC(E1176*F1176,2)</f>
        <v>17.96</v>
      </c>
    </row>
    <row r="1177" spans="1:7" s="52" customFormat="1" ht="15.75">
      <c r="A1177" s="389"/>
      <c r="B1177" s="399" t="s">
        <v>131</v>
      </c>
      <c r="C1177" s="230" t="s">
        <v>59</v>
      </c>
      <c r="D1177" s="59" t="s">
        <v>52</v>
      </c>
      <c r="E1177" s="59">
        <v>0.057</v>
      </c>
      <c r="F1177" s="59">
        <f>TRUNC(26.66,2)</f>
        <v>26.66</v>
      </c>
      <c r="G1177" s="59">
        <f>TRUNC(E1177*F1177,2)</f>
        <v>1.51</v>
      </c>
    </row>
    <row r="1178" spans="1:7" s="52" customFormat="1" ht="15.75">
      <c r="A1178" s="389"/>
      <c r="B1178" s="399" t="s">
        <v>271</v>
      </c>
      <c r="C1178" s="230" t="s">
        <v>60</v>
      </c>
      <c r="D1178" s="59" t="s">
        <v>52</v>
      </c>
      <c r="E1178" s="59">
        <v>0.057</v>
      </c>
      <c r="F1178" s="59">
        <f>TRUNC(20.87,2)</f>
        <v>20.87</v>
      </c>
      <c r="G1178" s="59">
        <f>TRUNC(E1178*F1178,2)</f>
        <v>1.18</v>
      </c>
    </row>
    <row r="1179" spans="1:7" s="52" customFormat="1" ht="15.75">
      <c r="A1179" s="389"/>
      <c r="B1179" s="399"/>
      <c r="C1179" s="230"/>
      <c r="D1179" s="59"/>
      <c r="E1179" s="59" t="s">
        <v>53</v>
      </c>
      <c r="F1179" s="59"/>
      <c r="G1179" s="59">
        <f>TRUNC(SUM(G1175:G1178),2)</f>
        <v>36.33</v>
      </c>
    </row>
    <row r="1180" spans="1:7" ht="30">
      <c r="A1180" s="94" t="s">
        <v>1246</v>
      </c>
      <c r="B1180" s="97" t="s">
        <v>1250</v>
      </c>
      <c r="C1180" s="278" t="s">
        <v>1248</v>
      </c>
      <c r="D1180" s="15" t="s">
        <v>1249</v>
      </c>
      <c r="E1180" s="15">
        <v>1</v>
      </c>
      <c r="F1180" s="15">
        <f>G1184</f>
        <v>37.440000000000005</v>
      </c>
      <c r="G1180" s="15">
        <f>E1180*F1180</f>
        <v>37.440000000000005</v>
      </c>
    </row>
    <row r="1181" spans="1:7" s="52" customFormat="1" ht="15.75">
      <c r="A1181" s="389"/>
      <c r="B1181" s="399" t="s">
        <v>1244</v>
      </c>
      <c r="C1181" s="230" t="s">
        <v>1245</v>
      </c>
      <c r="D1181" s="59" t="s">
        <v>21</v>
      </c>
      <c r="E1181" s="59">
        <v>1</v>
      </c>
      <c r="F1181" s="59">
        <v>27.94</v>
      </c>
      <c r="G1181" s="59">
        <f>TRUNC(E1181*F1181,2)</f>
        <v>27.94</v>
      </c>
    </row>
    <row r="1182" spans="1:7" s="52" customFormat="1" ht="15.75">
      <c r="A1182" s="389"/>
      <c r="B1182" s="399" t="s">
        <v>131</v>
      </c>
      <c r="C1182" s="230" t="s">
        <v>59</v>
      </c>
      <c r="D1182" s="59" t="s">
        <v>52</v>
      </c>
      <c r="E1182" s="59">
        <v>0.2</v>
      </c>
      <c r="F1182" s="59">
        <f>TRUNC(26.66,2)</f>
        <v>26.66</v>
      </c>
      <c r="G1182" s="59">
        <f>TRUNC(E1182*F1182,2)</f>
        <v>5.33</v>
      </c>
    </row>
    <row r="1183" spans="1:7" s="52" customFormat="1" ht="15.75">
      <c r="A1183" s="389"/>
      <c r="B1183" s="399" t="s">
        <v>271</v>
      </c>
      <c r="C1183" s="230" t="s">
        <v>60</v>
      </c>
      <c r="D1183" s="59" t="s">
        <v>52</v>
      </c>
      <c r="E1183" s="59">
        <v>0.2</v>
      </c>
      <c r="F1183" s="59">
        <f>TRUNC(20.87,2)</f>
        <v>20.87</v>
      </c>
      <c r="G1183" s="59">
        <f>TRUNC(E1183*F1183,2)</f>
        <v>4.17</v>
      </c>
    </row>
    <row r="1184" spans="1:7" s="52" customFormat="1" ht="15.75">
      <c r="A1184" s="389"/>
      <c r="B1184" s="399"/>
      <c r="C1184" s="230"/>
      <c r="D1184" s="59"/>
      <c r="E1184" s="59" t="s">
        <v>53</v>
      </c>
      <c r="F1184" s="59"/>
      <c r="G1184" s="59">
        <f>SUM(G1181:G1183)</f>
        <v>37.440000000000005</v>
      </c>
    </row>
  </sheetData>
  <sheetProtection/>
  <mergeCells count="12">
    <mergeCell ref="A795:G795"/>
    <mergeCell ref="A796:G796"/>
    <mergeCell ref="A797:G797"/>
    <mergeCell ref="A798:G798"/>
    <mergeCell ref="E337:F337"/>
    <mergeCell ref="E321:F321"/>
    <mergeCell ref="C4:G4"/>
    <mergeCell ref="C5:G5"/>
    <mergeCell ref="C6:G6"/>
    <mergeCell ref="C7:G7"/>
    <mergeCell ref="C8:G8"/>
    <mergeCell ref="A9:G9"/>
  </mergeCells>
  <printOptions/>
  <pageMargins left="0.5118110236220472" right="0.5118110236220472" top="0.7874015748031497" bottom="0.7874015748031497" header="0.31496062992125984" footer="0.31496062992125984"/>
  <pageSetup horizontalDpi="600" verticalDpi="600" orientation="portrait" paperSize="9" scale="49" r:id="rId2"/>
  <headerFooter>
    <oddFooter>&amp;L&amp;20&amp;A&amp;C&amp;20Página &amp;P de &amp;N</oddFooter>
  </headerFooter>
  <drawing r:id="rId1"/>
</worksheet>
</file>

<file path=xl/worksheets/sheet2.xml><?xml version="1.0" encoding="utf-8"?>
<worksheet xmlns="http://schemas.openxmlformats.org/spreadsheetml/2006/main" xmlns:r="http://schemas.openxmlformats.org/officeDocument/2006/relationships">
  <dimension ref="A1:I195"/>
  <sheetViews>
    <sheetView view="pageBreakPreview" zoomScale="90" zoomScaleNormal="90" zoomScaleSheetLayoutView="90" zoomScalePageLayoutView="0" workbookViewId="0" topLeftCell="A25">
      <selection activeCell="C6" sqref="C6:G6"/>
    </sheetView>
  </sheetViews>
  <sheetFormatPr defaultColWidth="9.140625" defaultRowHeight="12.75"/>
  <cols>
    <col min="1" max="1" width="10.7109375" style="13" customWidth="1"/>
    <col min="2" max="2" width="24.421875" style="165" customWidth="1"/>
    <col min="3" max="3" width="102.140625" style="219" customWidth="1"/>
    <col min="4" max="4" width="9.140625" style="2" customWidth="1"/>
    <col min="5" max="5" width="12.28125" style="2" bestFit="1" customWidth="1"/>
    <col min="6" max="6" width="14.00390625" style="2" hidden="1" customWidth="1"/>
    <col min="7" max="7" width="13.421875" style="2" hidden="1" customWidth="1"/>
    <col min="8" max="8" width="9.140625" style="2" hidden="1" customWidth="1"/>
    <col min="9" max="10" width="9.140625" style="2" customWidth="1"/>
    <col min="11" max="16384" width="9.140625" style="2" customWidth="1"/>
  </cols>
  <sheetData>
    <row r="1" spans="1:5" ht="16.5" customHeight="1">
      <c r="A1" s="11"/>
      <c r="B1" s="431"/>
      <c r="C1" s="217" t="s">
        <v>11</v>
      </c>
      <c r="D1" s="209" t="s">
        <v>416</v>
      </c>
      <c r="E1" s="210" t="s">
        <v>418</v>
      </c>
    </row>
    <row r="2" spans="1:5" ht="16.5" customHeight="1">
      <c r="A2" s="12"/>
      <c r="B2" s="432"/>
      <c r="C2" s="218" t="s">
        <v>8</v>
      </c>
      <c r="D2" s="66" t="s">
        <v>758</v>
      </c>
      <c r="E2" s="325" t="s">
        <v>1280</v>
      </c>
    </row>
    <row r="3" spans="1:7" ht="16.5" customHeight="1">
      <c r="A3" s="12"/>
      <c r="B3" s="432"/>
      <c r="C3" s="218" t="s">
        <v>9</v>
      </c>
      <c r="D3" s="210" t="s">
        <v>417</v>
      </c>
      <c r="E3" s="72">
        <v>43812</v>
      </c>
      <c r="F3" s="40"/>
      <c r="G3" s="41"/>
    </row>
    <row r="4" spans="1:7" ht="16.5" customHeight="1">
      <c r="A4" s="12"/>
      <c r="B4" s="432"/>
      <c r="C4" s="655" t="s">
        <v>402</v>
      </c>
      <c r="D4" s="656"/>
      <c r="E4" s="656"/>
      <c r="F4" s="656"/>
      <c r="G4" s="657"/>
    </row>
    <row r="5" spans="1:7" ht="16.5" customHeight="1">
      <c r="A5" s="12"/>
      <c r="B5" s="432"/>
      <c r="C5" s="658" t="s">
        <v>554</v>
      </c>
      <c r="D5" s="659"/>
      <c r="E5" s="659"/>
      <c r="F5" s="659"/>
      <c r="G5" s="660"/>
    </row>
    <row r="6" spans="1:7" ht="16.5" customHeight="1">
      <c r="A6" s="12"/>
      <c r="B6" s="432"/>
      <c r="C6" s="658" t="s">
        <v>180</v>
      </c>
      <c r="D6" s="659"/>
      <c r="E6" s="659"/>
      <c r="F6" s="659"/>
      <c r="G6" s="660"/>
    </row>
    <row r="7" spans="1:7" ht="27" customHeight="1">
      <c r="A7" s="12"/>
      <c r="B7" s="432"/>
      <c r="C7" s="661" t="s">
        <v>780</v>
      </c>
      <c r="D7" s="662"/>
      <c r="E7" s="662"/>
      <c r="F7" s="662"/>
      <c r="G7" s="663"/>
    </row>
    <row r="8" spans="1:7" ht="16.5" customHeight="1">
      <c r="A8" s="12"/>
      <c r="B8" s="432"/>
      <c r="C8" s="664" t="s">
        <v>781</v>
      </c>
      <c r="D8" s="656"/>
      <c r="E8" s="656"/>
      <c r="F8" s="656"/>
      <c r="G8" s="657"/>
    </row>
    <row r="9" spans="1:7" ht="18" customHeight="1">
      <c r="A9" s="665" t="s">
        <v>759</v>
      </c>
      <c r="B9" s="666"/>
      <c r="C9" s="666"/>
      <c r="D9" s="666"/>
      <c r="E9" s="666"/>
      <c r="F9" s="666"/>
      <c r="G9" s="667"/>
    </row>
    <row r="10" spans="1:7" ht="39.75" customHeight="1">
      <c r="A10" s="115" t="s">
        <v>0</v>
      </c>
      <c r="B10" s="88" t="s">
        <v>10</v>
      </c>
      <c r="C10" s="91" t="s">
        <v>1</v>
      </c>
      <c r="D10" s="324" t="s">
        <v>2</v>
      </c>
      <c r="E10" s="324" t="s">
        <v>3</v>
      </c>
      <c r="F10" s="324" t="s">
        <v>7</v>
      </c>
      <c r="G10" s="324" t="s">
        <v>4</v>
      </c>
    </row>
    <row r="11" spans="1:7" s="52" customFormat="1" ht="15.75">
      <c r="A11" s="231"/>
      <c r="B11" s="234"/>
      <c r="C11" s="232"/>
      <c r="D11" s="233"/>
      <c r="E11" s="233"/>
      <c r="F11" s="233"/>
      <c r="G11" s="233"/>
    </row>
    <row r="12" spans="1:7" s="10" customFormat="1" ht="18.75">
      <c r="A12" s="238" t="s">
        <v>610</v>
      </c>
      <c r="B12" s="239"/>
      <c r="C12" s="240" t="s">
        <v>14</v>
      </c>
      <c r="D12" s="241"/>
      <c r="E12" s="241"/>
      <c r="F12" s="241"/>
      <c r="G12" s="241"/>
    </row>
    <row r="13" spans="1:9" s="59" customFormat="1" ht="30">
      <c r="A13" s="254" t="s">
        <v>611</v>
      </c>
      <c r="B13" s="141" t="s">
        <v>1034</v>
      </c>
      <c r="C13" s="255" t="s">
        <v>220</v>
      </c>
      <c r="D13" s="256" t="s">
        <v>15</v>
      </c>
      <c r="E13" s="256">
        <v>1</v>
      </c>
      <c r="F13" s="256">
        <v>337.94</v>
      </c>
      <c r="G13" s="256">
        <v>337.94</v>
      </c>
      <c r="I13" s="59">
        <v>413.87</v>
      </c>
    </row>
    <row r="14" spans="1:7" s="59" customFormat="1" ht="60">
      <c r="A14" s="254" t="s">
        <v>1261</v>
      </c>
      <c r="B14" s="141" t="s">
        <v>1262</v>
      </c>
      <c r="C14" s="255" t="s">
        <v>1263</v>
      </c>
      <c r="D14" s="256" t="s">
        <v>15</v>
      </c>
      <c r="E14" s="256">
        <v>1</v>
      </c>
      <c r="F14" s="256">
        <v>26.1</v>
      </c>
      <c r="G14" s="256">
        <v>26.1</v>
      </c>
    </row>
    <row r="15" spans="1:7" s="10" customFormat="1" ht="18.75">
      <c r="A15" s="243" t="s">
        <v>612</v>
      </c>
      <c r="B15" s="348"/>
      <c r="C15" s="244" t="s">
        <v>23</v>
      </c>
      <c r="D15" s="241"/>
      <c r="E15" s="241"/>
      <c r="F15" s="241"/>
      <c r="G15" s="241"/>
    </row>
    <row r="16" spans="1:9" s="10" customFormat="1" ht="18.75">
      <c r="A16" s="28" t="s">
        <v>613</v>
      </c>
      <c r="B16" s="97" t="s">
        <v>791</v>
      </c>
      <c r="C16" s="278" t="s">
        <v>245</v>
      </c>
      <c r="D16" s="15" t="s">
        <v>15</v>
      </c>
      <c r="E16" s="15">
        <v>1</v>
      </c>
      <c r="F16" s="15">
        <v>1.69</v>
      </c>
      <c r="G16" s="15">
        <v>1.69</v>
      </c>
      <c r="I16" s="59">
        <v>2.17</v>
      </c>
    </row>
    <row r="17" spans="1:9" s="10" customFormat="1" ht="30">
      <c r="A17" s="28" t="s">
        <v>614</v>
      </c>
      <c r="B17" s="97" t="s">
        <v>792</v>
      </c>
      <c r="C17" s="278" t="s">
        <v>570</v>
      </c>
      <c r="D17" s="15" t="s">
        <v>19</v>
      </c>
      <c r="E17" s="15">
        <v>1</v>
      </c>
      <c r="F17" s="15">
        <v>203.52</v>
      </c>
      <c r="G17" s="15">
        <v>203.52</v>
      </c>
      <c r="I17" s="59">
        <v>262.17</v>
      </c>
    </row>
    <row r="18" spans="1:7" s="10" customFormat="1" ht="18.75">
      <c r="A18" s="28" t="s">
        <v>615</v>
      </c>
      <c r="B18" s="97" t="s">
        <v>796</v>
      </c>
      <c r="C18" s="278" t="s">
        <v>457</v>
      </c>
      <c r="D18" s="15" t="s">
        <v>19</v>
      </c>
      <c r="E18" s="15">
        <v>1</v>
      </c>
      <c r="F18" s="15">
        <v>50.94</v>
      </c>
      <c r="G18" s="15">
        <v>50.94</v>
      </c>
    </row>
    <row r="19" spans="1:7" s="10" customFormat="1" ht="60">
      <c r="A19" s="28" t="s">
        <v>616</v>
      </c>
      <c r="B19" s="97" t="s">
        <v>1266</v>
      </c>
      <c r="C19" s="278" t="s">
        <v>1267</v>
      </c>
      <c r="D19" s="15" t="s">
        <v>21</v>
      </c>
      <c r="E19" s="15">
        <v>1</v>
      </c>
      <c r="F19" s="15">
        <v>1.79</v>
      </c>
      <c r="G19" s="15">
        <v>1.79</v>
      </c>
    </row>
    <row r="20" spans="1:7" s="10" customFormat="1" ht="18.75">
      <c r="A20" s="238" t="s">
        <v>617</v>
      </c>
      <c r="B20" s="239"/>
      <c r="C20" s="240" t="s">
        <v>17</v>
      </c>
      <c r="D20" s="241"/>
      <c r="E20" s="241"/>
      <c r="F20" s="241"/>
      <c r="G20" s="241"/>
    </row>
    <row r="21" spans="1:7" s="10" customFormat="1" ht="45">
      <c r="A21" s="236" t="s">
        <v>618</v>
      </c>
      <c r="B21" s="114" t="s">
        <v>798</v>
      </c>
      <c r="C21" s="277" t="s">
        <v>381</v>
      </c>
      <c r="D21" s="15" t="s">
        <v>15</v>
      </c>
      <c r="E21" s="15">
        <v>1</v>
      </c>
      <c r="F21" s="15">
        <v>14.54</v>
      </c>
      <c r="G21" s="15">
        <v>14.54</v>
      </c>
    </row>
    <row r="22" spans="1:7" s="10" customFormat="1" ht="30">
      <c r="A22" s="28" t="s">
        <v>619</v>
      </c>
      <c r="B22" s="97" t="s">
        <v>799</v>
      </c>
      <c r="C22" s="278" t="s">
        <v>182</v>
      </c>
      <c r="D22" s="15" t="s">
        <v>19</v>
      </c>
      <c r="E22" s="15">
        <v>1</v>
      </c>
      <c r="F22" s="15">
        <v>55.43</v>
      </c>
      <c r="G22" s="15">
        <v>55.43</v>
      </c>
    </row>
    <row r="23" spans="1:7" s="10" customFormat="1" ht="30">
      <c r="A23" s="28" t="s">
        <v>620</v>
      </c>
      <c r="B23" s="97" t="s">
        <v>802</v>
      </c>
      <c r="C23" s="278" t="s">
        <v>223</v>
      </c>
      <c r="D23" s="15" t="s">
        <v>19</v>
      </c>
      <c r="E23" s="15">
        <v>1</v>
      </c>
      <c r="F23" s="15">
        <v>574.45</v>
      </c>
      <c r="G23" s="15">
        <v>574.45</v>
      </c>
    </row>
    <row r="24" spans="1:7" s="10" customFormat="1" ht="30">
      <c r="A24" s="28" t="s">
        <v>621</v>
      </c>
      <c r="B24" s="97" t="s">
        <v>792</v>
      </c>
      <c r="C24" s="278" t="s">
        <v>570</v>
      </c>
      <c r="D24" s="15" t="s">
        <v>19</v>
      </c>
      <c r="E24" s="15">
        <v>1</v>
      </c>
      <c r="F24" s="15">
        <v>203.52</v>
      </c>
      <c r="G24" s="15">
        <v>203.52</v>
      </c>
    </row>
    <row r="25" spans="1:7" s="10" customFormat="1" ht="30">
      <c r="A25" s="28" t="s">
        <v>622</v>
      </c>
      <c r="B25" s="109" t="s">
        <v>806</v>
      </c>
      <c r="C25" s="278" t="s">
        <v>183</v>
      </c>
      <c r="D25" s="15" t="s">
        <v>15</v>
      </c>
      <c r="E25" s="15">
        <v>1</v>
      </c>
      <c r="F25" s="15">
        <v>22.52</v>
      </c>
      <c r="G25" s="15">
        <v>22.52</v>
      </c>
    </row>
    <row r="26" spans="1:7" s="10" customFormat="1" ht="18.75">
      <c r="A26" s="28" t="s">
        <v>623</v>
      </c>
      <c r="B26" s="97" t="s">
        <v>246</v>
      </c>
      <c r="C26" s="278" t="s">
        <v>247</v>
      </c>
      <c r="D26" s="247" t="s">
        <v>15</v>
      </c>
      <c r="E26" s="247">
        <v>1</v>
      </c>
      <c r="F26" s="247">
        <v>3.23</v>
      </c>
      <c r="G26" s="247">
        <v>3.23</v>
      </c>
    </row>
    <row r="27" spans="1:7" s="59" customFormat="1" ht="41.25" customHeight="1">
      <c r="A27" s="254" t="s">
        <v>624</v>
      </c>
      <c r="B27" s="141" t="s">
        <v>807</v>
      </c>
      <c r="C27" s="255" t="s">
        <v>419</v>
      </c>
      <c r="D27" s="250" t="s">
        <v>15</v>
      </c>
      <c r="E27" s="250">
        <v>1</v>
      </c>
      <c r="F27" s="250">
        <v>4.88</v>
      </c>
      <c r="G27" s="250">
        <v>4.88</v>
      </c>
    </row>
    <row r="28" spans="1:7" s="10" customFormat="1" ht="30">
      <c r="A28" s="28" t="s">
        <v>625</v>
      </c>
      <c r="B28" s="97" t="s">
        <v>809</v>
      </c>
      <c r="C28" s="278" t="s">
        <v>249</v>
      </c>
      <c r="D28" s="247" t="s">
        <v>15</v>
      </c>
      <c r="E28" s="247">
        <v>1</v>
      </c>
      <c r="F28" s="247">
        <v>3.25</v>
      </c>
      <c r="G28" s="247">
        <v>3.25</v>
      </c>
    </row>
    <row r="29" spans="1:7" s="10" customFormat="1" ht="30">
      <c r="A29" s="28" t="s">
        <v>626</v>
      </c>
      <c r="B29" s="97" t="s">
        <v>810</v>
      </c>
      <c r="C29" s="278" t="s">
        <v>558</v>
      </c>
      <c r="D29" s="247" t="s">
        <v>15</v>
      </c>
      <c r="E29" s="247">
        <v>1</v>
      </c>
      <c r="F29" s="247">
        <v>14.9</v>
      </c>
      <c r="G29" s="247">
        <v>14.9</v>
      </c>
    </row>
    <row r="30" spans="1:7" s="10" customFormat="1" ht="60">
      <c r="A30" s="28" t="s">
        <v>627</v>
      </c>
      <c r="B30" s="97" t="s">
        <v>1266</v>
      </c>
      <c r="C30" s="278" t="s">
        <v>1267</v>
      </c>
      <c r="D30" s="15" t="s">
        <v>21</v>
      </c>
      <c r="E30" s="15">
        <v>1</v>
      </c>
      <c r="F30" s="15">
        <v>24.27</v>
      </c>
      <c r="G30" s="15">
        <v>24.27</v>
      </c>
    </row>
    <row r="31" spans="1:7" s="10" customFormat="1" ht="30">
      <c r="A31" s="28" t="s">
        <v>1273</v>
      </c>
      <c r="B31" s="97" t="s">
        <v>1274</v>
      </c>
      <c r="C31" s="278" t="s">
        <v>1275</v>
      </c>
      <c r="D31" s="15" t="s">
        <v>15</v>
      </c>
      <c r="E31" s="15">
        <v>1</v>
      </c>
      <c r="F31" s="15">
        <v>15.67</v>
      </c>
      <c r="G31" s="15"/>
    </row>
    <row r="32" spans="1:7" s="10" customFormat="1" ht="18.75">
      <c r="A32" s="238" t="s">
        <v>628</v>
      </c>
      <c r="B32" s="239"/>
      <c r="C32" s="240" t="s">
        <v>20</v>
      </c>
      <c r="D32" s="251"/>
      <c r="E32" s="251"/>
      <c r="F32" s="251"/>
      <c r="G32" s="251"/>
    </row>
    <row r="33" spans="1:7" s="59" customFormat="1" ht="18.75">
      <c r="A33" s="254" t="s">
        <v>629</v>
      </c>
      <c r="B33" s="141" t="s">
        <v>811</v>
      </c>
      <c r="C33" s="255" t="s">
        <v>186</v>
      </c>
      <c r="D33" s="256" t="s">
        <v>21</v>
      </c>
      <c r="E33" s="256">
        <v>1</v>
      </c>
      <c r="F33" s="256">
        <v>11.99</v>
      </c>
      <c r="G33" s="256">
        <v>11.99</v>
      </c>
    </row>
    <row r="34" spans="1:7" s="59" customFormat="1" ht="41.25" customHeight="1">
      <c r="A34" s="254" t="s">
        <v>630</v>
      </c>
      <c r="B34" s="141" t="s">
        <v>812</v>
      </c>
      <c r="C34" s="255" t="s">
        <v>187</v>
      </c>
      <c r="D34" s="256" t="s">
        <v>21</v>
      </c>
      <c r="E34" s="256">
        <v>1</v>
      </c>
      <c r="F34" s="256">
        <v>8.74</v>
      </c>
      <c r="G34" s="256">
        <v>8.74</v>
      </c>
    </row>
    <row r="35" spans="1:7" s="59" customFormat="1" ht="30">
      <c r="A35" s="254" t="s">
        <v>631</v>
      </c>
      <c r="B35" s="141" t="s">
        <v>813</v>
      </c>
      <c r="C35" s="255" t="s">
        <v>571</v>
      </c>
      <c r="D35" s="256" t="s">
        <v>18</v>
      </c>
      <c r="E35" s="256">
        <v>1</v>
      </c>
      <c r="F35" s="256">
        <v>35.46</v>
      </c>
      <c r="G35" s="256">
        <v>35.46</v>
      </c>
    </row>
    <row r="36" spans="1:7" s="59" customFormat="1" ht="18.75">
      <c r="A36" s="254" t="s">
        <v>632</v>
      </c>
      <c r="B36" s="141" t="s">
        <v>184</v>
      </c>
      <c r="C36" s="255" t="s">
        <v>185</v>
      </c>
      <c r="D36" s="256" t="s">
        <v>15</v>
      </c>
      <c r="E36" s="256">
        <v>1</v>
      </c>
      <c r="F36" s="256">
        <v>9.02</v>
      </c>
      <c r="G36" s="256">
        <v>9.02</v>
      </c>
    </row>
    <row r="37" spans="1:7" s="59" customFormat="1" ht="45">
      <c r="A37" s="254" t="s">
        <v>633</v>
      </c>
      <c r="B37" s="139" t="s">
        <v>814</v>
      </c>
      <c r="C37" s="255" t="s">
        <v>252</v>
      </c>
      <c r="D37" s="250" t="s">
        <v>15</v>
      </c>
      <c r="E37" s="250">
        <v>1</v>
      </c>
      <c r="F37" s="250">
        <v>12.93</v>
      </c>
      <c r="G37" s="250">
        <v>12.93</v>
      </c>
    </row>
    <row r="38" spans="1:7" s="59" customFormat="1" ht="30">
      <c r="A38" s="254" t="s">
        <v>634</v>
      </c>
      <c r="B38" s="139" t="s">
        <v>817</v>
      </c>
      <c r="C38" s="255" t="s">
        <v>446</v>
      </c>
      <c r="D38" s="256" t="s">
        <v>21</v>
      </c>
      <c r="E38" s="256">
        <v>1</v>
      </c>
      <c r="F38" s="256">
        <v>1.25</v>
      </c>
      <c r="G38" s="256">
        <v>1.25</v>
      </c>
    </row>
    <row r="39" spans="1:7" s="59" customFormat="1" ht="60">
      <c r="A39" s="254" t="s">
        <v>635</v>
      </c>
      <c r="B39" s="141" t="s">
        <v>1266</v>
      </c>
      <c r="C39" s="255" t="s">
        <v>1267</v>
      </c>
      <c r="D39" s="256" t="s">
        <v>21</v>
      </c>
      <c r="E39" s="256">
        <v>1</v>
      </c>
      <c r="F39" s="256">
        <v>24.27</v>
      </c>
      <c r="G39" s="256">
        <v>24.27</v>
      </c>
    </row>
    <row r="40" spans="1:9" s="3" customFormat="1" ht="18.75">
      <c r="A40" s="261" t="s">
        <v>636</v>
      </c>
      <c r="B40" s="434"/>
      <c r="C40" s="262" t="s">
        <v>360</v>
      </c>
      <c r="D40" s="263"/>
      <c r="E40" s="264"/>
      <c r="F40" s="265"/>
      <c r="G40" s="265"/>
      <c r="I40" s="10"/>
    </row>
    <row r="41" spans="1:9" s="3" customFormat="1" ht="30">
      <c r="A41" s="343" t="s">
        <v>637</v>
      </c>
      <c r="B41" s="120" t="s">
        <v>820</v>
      </c>
      <c r="C41" s="260" t="s">
        <v>361</v>
      </c>
      <c r="D41" s="257" t="s">
        <v>19</v>
      </c>
      <c r="E41" s="258">
        <v>1</v>
      </c>
      <c r="F41" s="259">
        <v>394.1</v>
      </c>
      <c r="G41" s="259">
        <v>394.1</v>
      </c>
      <c r="I41" s="10"/>
    </row>
    <row r="42" spans="1:9" s="3" customFormat="1" ht="45">
      <c r="A42" s="343" t="s">
        <v>638</v>
      </c>
      <c r="B42" s="120" t="s">
        <v>826</v>
      </c>
      <c r="C42" s="260" t="s">
        <v>363</v>
      </c>
      <c r="D42" s="257" t="s">
        <v>15</v>
      </c>
      <c r="E42" s="258">
        <v>1</v>
      </c>
      <c r="F42" s="259">
        <v>67.89</v>
      </c>
      <c r="G42" s="259">
        <v>67.89</v>
      </c>
      <c r="I42" s="2"/>
    </row>
    <row r="43" spans="1:9" s="3" customFormat="1" ht="75">
      <c r="A43" s="343" t="s">
        <v>639</v>
      </c>
      <c r="B43" s="120" t="s">
        <v>837</v>
      </c>
      <c r="C43" s="260" t="s">
        <v>572</v>
      </c>
      <c r="D43" s="257" t="s">
        <v>15</v>
      </c>
      <c r="E43" s="258">
        <v>1</v>
      </c>
      <c r="F43" s="259">
        <v>226.13</v>
      </c>
      <c r="G43" s="259">
        <v>226.13</v>
      </c>
      <c r="I43" s="2"/>
    </row>
    <row r="44" spans="1:9" s="3" customFormat="1" ht="75">
      <c r="A44" s="343" t="s">
        <v>640</v>
      </c>
      <c r="B44" s="120" t="s">
        <v>841</v>
      </c>
      <c r="C44" s="260" t="s">
        <v>559</v>
      </c>
      <c r="D44" s="257" t="s">
        <v>19</v>
      </c>
      <c r="E44" s="266">
        <v>1</v>
      </c>
      <c r="F44" s="259">
        <v>1942.94</v>
      </c>
      <c r="G44" s="259">
        <v>1942.94</v>
      </c>
      <c r="I44" s="2"/>
    </row>
    <row r="45" spans="1:7" ht="45">
      <c r="A45" s="254" t="s">
        <v>641</v>
      </c>
      <c r="B45" s="141" t="s">
        <v>850</v>
      </c>
      <c r="C45" s="255" t="s">
        <v>573</v>
      </c>
      <c r="D45" s="256" t="s">
        <v>15</v>
      </c>
      <c r="E45" s="256">
        <v>1</v>
      </c>
      <c r="F45" s="256">
        <v>48.17</v>
      </c>
      <c r="G45" s="256">
        <v>48.17</v>
      </c>
    </row>
    <row r="46" spans="1:7" ht="30">
      <c r="A46" s="254" t="s">
        <v>642</v>
      </c>
      <c r="B46" s="141" t="s">
        <v>853</v>
      </c>
      <c r="C46" s="269" t="s">
        <v>206</v>
      </c>
      <c r="D46" s="256" t="s">
        <v>15</v>
      </c>
      <c r="E46" s="256">
        <v>1</v>
      </c>
      <c r="F46" s="256">
        <v>3.43</v>
      </c>
      <c r="G46" s="256">
        <v>3.43</v>
      </c>
    </row>
    <row r="47" spans="1:7" ht="45">
      <c r="A47" s="254" t="s">
        <v>643</v>
      </c>
      <c r="B47" s="139" t="s">
        <v>860</v>
      </c>
      <c r="C47" s="268" t="s">
        <v>754</v>
      </c>
      <c r="D47" s="256" t="s">
        <v>15</v>
      </c>
      <c r="E47" s="256">
        <v>1</v>
      </c>
      <c r="F47" s="256">
        <v>31.24</v>
      </c>
      <c r="G47" s="256">
        <v>31.24</v>
      </c>
    </row>
    <row r="48" spans="1:9" s="3" customFormat="1" ht="30">
      <c r="A48" s="344" t="s">
        <v>644</v>
      </c>
      <c r="B48" s="435" t="s">
        <v>861</v>
      </c>
      <c r="C48" s="268" t="s">
        <v>198</v>
      </c>
      <c r="D48" s="273" t="s">
        <v>15</v>
      </c>
      <c r="E48" s="274">
        <v>1</v>
      </c>
      <c r="F48" s="275">
        <v>414.12</v>
      </c>
      <c r="G48" s="275">
        <v>414.12</v>
      </c>
      <c r="I48" s="2"/>
    </row>
    <row r="49" spans="1:7" ht="30">
      <c r="A49" s="28" t="s">
        <v>645</v>
      </c>
      <c r="B49" s="97" t="s">
        <v>866</v>
      </c>
      <c r="C49" s="277" t="s">
        <v>272</v>
      </c>
      <c r="D49" s="15" t="s">
        <v>21</v>
      </c>
      <c r="E49" s="15">
        <v>1</v>
      </c>
      <c r="F49" s="15">
        <v>159.71</v>
      </c>
      <c r="G49" s="15">
        <v>159.71</v>
      </c>
    </row>
    <row r="50" spans="1:7" ht="18.75">
      <c r="A50" s="28" t="s">
        <v>646</v>
      </c>
      <c r="B50" s="97" t="s">
        <v>870</v>
      </c>
      <c r="C50" s="278" t="s">
        <v>343</v>
      </c>
      <c r="D50" s="15" t="s">
        <v>15</v>
      </c>
      <c r="E50" s="15">
        <v>1</v>
      </c>
      <c r="F50" s="15">
        <v>2.47</v>
      </c>
      <c r="G50" s="15">
        <v>2.47</v>
      </c>
    </row>
    <row r="51" spans="1:7" ht="30">
      <c r="A51" s="28" t="s">
        <v>647</v>
      </c>
      <c r="B51" s="97" t="s">
        <v>872</v>
      </c>
      <c r="C51" s="277" t="s">
        <v>40</v>
      </c>
      <c r="D51" s="15" t="s">
        <v>15</v>
      </c>
      <c r="E51" s="8">
        <v>1</v>
      </c>
      <c r="F51" s="8">
        <v>14.82</v>
      </c>
      <c r="G51" s="8">
        <v>14.82</v>
      </c>
    </row>
    <row r="52" spans="1:9" s="3" customFormat="1" ht="20.25">
      <c r="A52" s="279" t="s">
        <v>648</v>
      </c>
      <c r="B52" s="437"/>
      <c r="C52" s="280" t="s">
        <v>25</v>
      </c>
      <c r="D52" s="281"/>
      <c r="E52" s="282"/>
      <c r="F52" s="283"/>
      <c r="G52" s="283"/>
      <c r="I52" s="2"/>
    </row>
    <row r="53" spans="1:7" ht="45">
      <c r="A53" s="254" t="s">
        <v>649</v>
      </c>
      <c r="B53" s="141" t="s">
        <v>850</v>
      </c>
      <c r="C53" s="255" t="s">
        <v>573</v>
      </c>
      <c r="D53" s="256" t="s">
        <v>15</v>
      </c>
      <c r="E53" s="256">
        <v>1</v>
      </c>
      <c r="F53" s="256">
        <v>48.17</v>
      </c>
      <c r="G53" s="256">
        <v>48.17</v>
      </c>
    </row>
    <row r="54" spans="1:7" ht="37.5" customHeight="1">
      <c r="A54" s="254" t="s">
        <v>650</v>
      </c>
      <c r="B54" s="438" t="s">
        <v>874</v>
      </c>
      <c r="C54" s="326" t="s">
        <v>189</v>
      </c>
      <c r="D54" s="256" t="s">
        <v>18</v>
      </c>
      <c r="E54" s="256">
        <v>1</v>
      </c>
      <c r="F54" s="256">
        <v>47.49</v>
      </c>
      <c r="G54" s="256">
        <v>47.49</v>
      </c>
    </row>
    <row r="55" spans="1:7" ht="18.75">
      <c r="A55" s="243" t="s">
        <v>651</v>
      </c>
      <c r="B55" s="348"/>
      <c r="C55" s="262" t="s">
        <v>67</v>
      </c>
      <c r="D55" s="241"/>
      <c r="E55" s="241"/>
      <c r="F55" s="241"/>
      <c r="G55" s="241"/>
    </row>
    <row r="56" spans="1:7" ht="45">
      <c r="A56" s="357" t="s">
        <v>652</v>
      </c>
      <c r="B56" s="358" t="s">
        <v>879</v>
      </c>
      <c r="C56" s="359" t="s">
        <v>574</v>
      </c>
      <c r="D56" s="360" t="s">
        <v>15</v>
      </c>
      <c r="E56" s="360">
        <v>1</v>
      </c>
      <c r="F56" s="360">
        <v>31.15</v>
      </c>
      <c r="G56" s="360">
        <v>31.15</v>
      </c>
    </row>
    <row r="57" spans="1:7" ht="67.5" customHeight="1">
      <c r="A57" s="365" t="s">
        <v>653</v>
      </c>
      <c r="B57" s="366" t="s">
        <v>885</v>
      </c>
      <c r="C57" s="367" t="s">
        <v>575</v>
      </c>
      <c r="D57" s="368" t="s">
        <v>15</v>
      </c>
      <c r="E57" s="368">
        <v>1</v>
      </c>
      <c r="F57" s="368">
        <v>25.76</v>
      </c>
      <c r="G57" s="368">
        <v>25.76</v>
      </c>
    </row>
    <row r="58" spans="1:7" ht="45">
      <c r="A58" s="254" t="s">
        <v>654</v>
      </c>
      <c r="B58" s="141" t="s">
        <v>887</v>
      </c>
      <c r="C58" s="269" t="s">
        <v>576</v>
      </c>
      <c r="D58" s="256" t="s">
        <v>15</v>
      </c>
      <c r="E58" s="256">
        <v>1</v>
      </c>
      <c r="F58" s="256">
        <v>80.55</v>
      </c>
      <c r="G58" s="256">
        <v>80.55</v>
      </c>
    </row>
    <row r="59" spans="1:7" ht="45">
      <c r="A59" s="28" t="s">
        <v>655</v>
      </c>
      <c r="B59" s="109" t="s">
        <v>1088</v>
      </c>
      <c r="C59" s="260" t="s">
        <v>395</v>
      </c>
      <c r="D59" s="15" t="s">
        <v>18</v>
      </c>
      <c r="E59" s="15">
        <v>1</v>
      </c>
      <c r="F59" s="15">
        <v>72.67894000000001</v>
      </c>
      <c r="G59" s="15">
        <v>72.67</v>
      </c>
    </row>
    <row r="60" spans="1:7" ht="45">
      <c r="A60" s="287" t="s">
        <v>656</v>
      </c>
      <c r="B60" s="288" t="s">
        <v>1090</v>
      </c>
      <c r="C60" s="289" t="s">
        <v>397</v>
      </c>
      <c r="D60" s="290" t="s">
        <v>18</v>
      </c>
      <c r="E60" s="290">
        <v>1</v>
      </c>
      <c r="F60" s="290">
        <v>39.994</v>
      </c>
      <c r="G60" s="290">
        <v>39.99</v>
      </c>
    </row>
    <row r="61" spans="1:7" ht="30">
      <c r="A61" s="534" t="s">
        <v>657</v>
      </c>
      <c r="B61" s="513" t="s">
        <v>1091</v>
      </c>
      <c r="C61" s="568" t="s">
        <v>1092</v>
      </c>
      <c r="D61" s="515" t="s">
        <v>18</v>
      </c>
      <c r="E61" s="515">
        <v>1</v>
      </c>
      <c r="F61" s="498">
        <v>72.0376</v>
      </c>
      <c r="G61" s="515">
        <v>72.03</v>
      </c>
    </row>
    <row r="62" spans="1:7" ht="30">
      <c r="A62" s="28" t="s">
        <v>658</v>
      </c>
      <c r="B62" s="139" t="s">
        <v>1093</v>
      </c>
      <c r="C62" s="268" t="s">
        <v>1094</v>
      </c>
      <c r="D62" s="256" t="s">
        <v>18</v>
      </c>
      <c r="E62" s="256">
        <v>1</v>
      </c>
      <c r="F62" s="63">
        <v>47.571999999999996</v>
      </c>
      <c r="G62" s="256">
        <v>47.57</v>
      </c>
    </row>
    <row r="63" spans="1:7" ht="30">
      <c r="A63" s="28" t="s">
        <v>659</v>
      </c>
      <c r="B63" s="141" t="s">
        <v>888</v>
      </c>
      <c r="C63" s="269" t="s">
        <v>577</v>
      </c>
      <c r="D63" s="256" t="s">
        <v>18</v>
      </c>
      <c r="E63" s="256">
        <v>1</v>
      </c>
      <c r="F63" s="256">
        <v>51.8</v>
      </c>
      <c r="G63" s="256">
        <v>51.8</v>
      </c>
    </row>
    <row r="64" spans="1:7" ht="30">
      <c r="A64" s="28" t="s">
        <v>1036</v>
      </c>
      <c r="B64" s="97" t="s">
        <v>889</v>
      </c>
      <c r="C64" s="260" t="s">
        <v>578</v>
      </c>
      <c r="D64" s="15" t="s">
        <v>18</v>
      </c>
      <c r="E64" s="15">
        <v>1</v>
      </c>
      <c r="F64" s="15">
        <v>29.04</v>
      </c>
      <c r="G64" s="15">
        <v>29.04</v>
      </c>
    </row>
    <row r="65" spans="1:9" s="10" customFormat="1" ht="18.75">
      <c r="A65" s="238" t="s">
        <v>661</v>
      </c>
      <c r="B65" s="239"/>
      <c r="C65" s="240" t="s">
        <v>26</v>
      </c>
      <c r="D65" s="301"/>
      <c r="E65" s="301"/>
      <c r="F65" s="301"/>
      <c r="G65" s="241"/>
      <c r="I65" s="23"/>
    </row>
    <row r="66" spans="1:9" s="59" customFormat="1" ht="63">
      <c r="A66" s="248" t="s">
        <v>660</v>
      </c>
      <c r="B66" s="460" t="s">
        <v>1046</v>
      </c>
      <c r="C66" s="461" t="s">
        <v>579</v>
      </c>
      <c r="D66" s="462" t="s">
        <v>21</v>
      </c>
      <c r="E66" s="462">
        <v>1</v>
      </c>
      <c r="F66" s="462">
        <v>95.05</v>
      </c>
      <c r="G66" s="256">
        <v>95.05</v>
      </c>
      <c r="I66" s="463"/>
    </row>
    <row r="67" spans="1:9" s="59" customFormat="1" ht="31.5">
      <c r="A67" s="618" t="s">
        <v>1105</v>
      </c>
      <c r="B67" s="615" t="s">
        <v>1127</v>
      </c>
      <c r="C67" s="619" t="s">
        <v>1128</v>
      </c>
      <c r="D67" s="620" t="s">
        <v>18</v>
      </c>
      <c r="E67" s="620">
        <v>1</v>
      </c>
      <c r="F67" s="620">
        <v>11.37</v>
      </c>
      <c r="G67" s="256">
        <v>11.37</v>
      </c>
      <c r="I67" s="463"/>
    </row>
    <row r="68" spans="1:9" s="59" customFormat="1" ht="31.5">
      <c r="A68" s="618" t="s">
        <v>1112</v>
      </c>
      <c r="B68" s="615" t="s">
        <v>1114</v>
      </c>
      <c r="C68" s="619" t="s">
        <v>1115</v>
      </c>
      <c r="D68" s="620" t="s">
        <v>18</v>
      </c>
      <c r="E68" s="620">
        <v>1</v>
      </c>
      <c r="F68" s="620">
        <v>8.58</v>
      </c>
      <c r="G68" s="256">
        <v>8.58</v>
      </c>
      <c r="I68" s="463"/>
    </row>
    <row r="69" spans="1:9" s="59" customFormat="1" ht="31.5">
      <c r="A69" s="618" t="s">
        <v>1113</v>
      </c>
      <c r="B69" s="615" t="s">
        <v>1106</v>
      </c>
      <c r="C69" s="619" t="s">
        <v>1107</v>
      </c>
      <c r="D69" s="620" t="s">
        <v>18</v>
      </c>
      <c r="E69" s="620">
        <v>1</v>
      </c>
      <c r="F69" s="620">
        <v>3.16</v>
      </c>
      <c r="G69" s="256">
        <v>3.16</v>
      </c>
      <c r="I69" s="463"/>
    </row>
    <row r="70" spans="1:9" s="59" customFormat="1" ht="31.5">
      <c r="A70" s="618" t="s">
        <v>1119</v>
      </c>
      <c r="B70" s="615" t="s">
        <v>1121</v>
      </c>
      <c r="C70" s="619" t="s">
        <v>1122</v>
      </c>
      <c r="D70" s="620" t="s">
        <v>21</v>
      </c>
      <c r="E70" s="620">
        <v>1</v>
      </c>
      <c r="F70" s="620">
        <v>36.83</v>
      </c>
      <c r="G70" s="256">
        <v>36.83</v>
      </c>
      <c r="I70" s="463"/>
    </row>
    <row r="71" spans="1:9" s="59" customFormat="1" ht="18.75">
      <c r="A71" s="618" t="s">
        <v>1120</v>
      </c>
      <c r="B71" s="615" t="s">
        <v>1099</v>
      </c>
      <c r="C71" s="619" t="s">
        <v>1100</v>
      </c>
      <c r="D71" s="620" t="s">
        <v>21</v>
      </c>
      <c r="E71" s="620">
        <v>1</v>
      </c>
      <c r="F71" s="620">
        <v>37.9</v>
      </c>
      <c r="G71" s="256">
        <v>37.9</v>
      </c>
      <c r="I71" s="463"/>
    </row>
    <row r="72" spans="1:9" s="59" customFormat="1" ht="18.75">
      <c r="A72" s="248"/>
      <c r="B72" s="460"/>
      <c r="C72" s="461"/>
      <c r="D72" s="462"/>
      <c r="E72" s="462"/>
      <c r="F72" s="462"/>
      <c r="G72" s="256"/>
      <c r="I72" s="463"/>
    </row>
    <row r="73" spans="1:9" s="10" customFormat="1" ht="18.75">
      <c r="A73" s="238" t="s">
        <v>662</v>
      </c>
      <c r="B73" s="239"/>
      <c r="C73" s="342" t="s">
        <v>534</v>
      </c>
      <c r="D73" s="301"/>
      <c r="E73" s="301"/>
      <c r="F73" s="301"/>
      <c r="G73" s="241"/>
      <c r="I73" s="23"/>
    </row>
    <row r="74" spans="1:9" s="10" customFormat="1" ht="18.75">
      <c r="A74" s="245"/>
      <c r="B74" s="246"/>
      <c r="C74" s="338" t="s">
        <v>537</v>
      </c>
      <c r="D74" s="300"/>
      <c r="E74" s="300"/>
      <c r="F74" s="300"/>
      <c r="G74" s="242"/>
      <c r="I74" s="23"/>
    </row>
    <row r="75" spans="1:9" s="10" customFormat="1" ht="25.5">
      <c r="A75" s="236" t="s">
        <v>663</v>
      </c>
      <c r="B75" s="195" t="s">
        <v>897</v>
      </c>
      <c r="C75" s="302" t="s">
        <v>469</v>
      </c>
      <c r="D75" s="303" t="s">
        <v>18</v>
      </c>
      <c r="E75" s="303">
        <v>1</v>
      </c>
      <c r="F75" s="303">
        <v>16</v>
      </c>
      <c r="G75" s="303">
        <v>16</v>
      </c>
      <c r="I75" s="23"/>
    </row>
    <row r="76" spans="1:9" s="10" customFormat="1" ht="25.5">
      <c r="A76" s="236" t="s">
        <v>664</v>
      </c>
      <c r="B76" s="195" t="s">
        <v>474</v>
      </c>
      <c r="C76" s="302" t="s">
        <v>475</v>
      </c>
      <c r="D76" s="303" t="s">
        <v>18</v>
      </c>
      <c r="E76" s="303">
        <v>1</v>
      </c>
      <c r="F76" s="303">
        <v>6.88</v>
      </c>
      <c r="G76" s="303">
        <v>6.88</v>
      </c>
      <c r="I76" s="23"/>
    </row>
    <row r="77" spans="1:9" s="10" customFormat="1" ht="18.75">
      <c r="A77" s="236" t="s">
        <v>665</v>
      </c>
      <c r="B77" s="195" t="s">
        <v>478</v>
      </c>
      <c r="C77" s="302" t="s">
        <v>479</v>
      </c>
      <c r="D77" s="303" t="s">
        <v>21</v>
      </c>
      <c r="E77" s="303">
        <v>1</v>
      </c>
      <c r="F77" s="303">
        <v>3.48</v>
      </c>
      <c r="G77" s="303">
        <v>3.48</v>
      </c>
      <c r="I77" s="23"/>
    </row>
    <row r="78" spans="1:9" s="10" customFormat="1" ht="18.75">
      <c r="A78" s="236" t="s">
        <v>666</v>
      </c>
      <c r="B78" s="195" t="s">
        <v>482</v>
      </c>
      <c r="C78" s="302" t="s">
        <v>483</v>
      </c>
      <c r="D78" s="303" t="s">
        <v>21</v>
      </c>
      <c r="E78" s="303">
        <v>1</v>
      </c>
      <c r="F78" s="303">
        <v>3.16</v>
      </c>
      <c r="G78" s="303">
        <v>3.16</v>
      </c>
      <c r="I78" s="23"/>
    </row>
    <row r="79" spans="1:9" s="10" customFormat="1" ht="18.75">
      <c r="A79" s="236" t="s">
        <v>667</v>
      </c>
      <c r="B79" s="195" t="s">
        <v>486</v>
      </c>
      <c r="C79" s="302" t="s">
        <v>487</v>
      </c>
      <c r="D79" s="303" t="s">
        <v>21</v>
      </c>
      <c r="E79" s="303">
        <v>1</v>
      </c>
      <c r="F79" s="303">
        <v>0.46</v>
      </c>
      <c r="G79" s="303">
        <v>0.46</v>
      </c>
      <c r="I79" s="23"/>
    </row>
    <row r="80" spans="1:9" s="10" customFormat="1" ht="18.75">
      <c r="A80" s="236" t="s">
        <v>668</v>
      </c>
      <c r="B80" s="195" t="s">
        <v>490</v>
      </c>
      <c r="C80" s="302" t="s">
        <v>491</v>
      </c>
      <c r="D80" s="303" t="s">
        <v>21</v>
      </c>
      <c r="E80" s="303">
        <v>1</v>
      </c>
      <c r="F80" s="303">
        <v>5</v>
      </c>
      <c r="G80" s="303">
        <v>5</v>
      </c>
      <c r="I80" s="23"/>
    </row>
    <row r="81" spans="1:9" s="10" customFormat="1" ht="18.75">
      <c r="A81" s="236" t="s">
        <v>669</v>
      </c>
      <c r="B81" s="195" t="s">
        <v>543</v>
      </c>
      <c r="C81" s="302" t="s">
        <v>544</v>
      </c>
      <c r="D81" s="303" t="s">
        <v>21</v>
      </c>
      <c r="E81" s="303">
        <v>1</v>
      </c>
      <c r="F81" s="303">
        <v>5.96</v>
      </c>
      <c r="G81" s="303">
        <v>5.96</v>
      </c>
      <c r="I81" s="23"/>
    </row>
    <row r="82" spans="1:9" s="10" customFormat="1" ht="18.75">
      <c r="A82" s="236" t="s">
        <v>670</v>
      </c>
      <c r="B82" s="195" t="s">
        <v>547</v>
      </c>
      <c r="C82" s="302" t="s">
        <v>548</v>
      </c>
      <c r="D82" s="303" t="s">
        <v>21</v>
      </c>
      <c r="E82" s="303">
        <v>1</v>
      </c>
      <c r="F82" s="303">
        <v>0.73</v>
      </c>
      <c r="G82" s="303">
        <v>0.73</v>
      </c>
      <c r="I82" s="23"/>
    </row>
    <row r="83" spans="1:9" s="10" customFormat="1" ht="25.5">
      <c r="A83" s="236" t="s">
        <v>671</v>
      </c>
      <c r="B83" s="195" t="s">
        <v>494</v>
      </c>
      <c r="C83" s="302" t="s">
        <v>495</v>
      </c>
      <c r="D83" s="303" t="s">
        <v>21</v>
      </c>
      <c r="E83" s="303">
        <v>1</v>
      </c>
      <c r="F83" s="303">
        <v>2.56</v>
      </c>
      <c r="G83" s="303">
        <v>2.56</v>
      </c>
      <c r="I83" s="23"/>
    </row>
    <row r="84" spans="1:9" s="10" customFormat="1" ht="38.25">
      <c r="A84" s="236" t="s">
        <v>672</v>
      </c>
      <c r="B84" s="195" t="s">
        <v>898</v>
      </c>
      <c r="C84" s="302" t="s">
        <v>498</v>
      </c>
      <c r="D84" s="303" t="s">
        <v>21</v>
      </c>
      <c r="E84" s="303">
        <v>1</v>
      </c>
      <c r="F84" s="303">
        <v>141.83</v>
      </c>
      <c r="G84" s="303">
        <v>141.83</v>
      </c>
      <c r="I84" s="23"/>
    </row>
    <row r="85" spans="1:9" s="10" customFormat="1" ht="18.75">
      <c r="A85" s="236" t="s">
        <v>673</v>
      </c>
      <c r="B85" s="195" t="s">
        <v>501</v>
      </c>
      <c r="C85" s="302" t="s">
        <v>502</v>
      </c>
      <c r="D85" s="303" t="s">
        <v>21</v>
      </c>
      <c r="E85" s="303">
        <v>1</v>
      </c>
      <c r="F85" s="303">
        <v>12.27</v>
      </c>
      <c r="G85" s="303">
        <v>12.27</v>
      </c>
      <c r="I85" s="23"/>
    </row>
    <row r="86" spans="1:9" s="10" customFormat="1" ht="18.75">
      <c r="A86" s="236" t="s">
        <v>674</v>
      </c>
      <c r="B86" s="195" t="s">
        <v>505</v>
      </c>
      <c r="C86" s="302" t="s">
        <v>506</v>
      </c>
      <c r="D86" s="303" t="s">
        <v>21</v>
      </c>
      <c r="E86" s="303">
        <v>1</v>
      </c>
      <c r="F86" s="303">
        <v>23.45</v>
      </c>
      <c r="G86" s="303">
        <v>23.45</v>
      </c>
      <c r="I86" s="23"/>
    </row>
    <row r="87" spans="1:9" s="10" customFormat="1" ht="38.25">
      <c r="A87" s="236" t="s">
        <v>675</v>
      </c>
      <c r="B87" s="195" t="s">
        <v>901</v>
      </c>
      <c r="C87" s="302" t="s">
        <v>551</v>
      </c>
      <c r="D87" s="303" t="s">
        <v>21</v>
      </c>
      <c r="E87" s="303">
        <v>1</v>
      </c>
      <c r="F87" s="303">
        <v>5.67</v>
      </c>
      <c r="G87" s="303">
        <v>5.67</v>
      </c>
      <c r="I87" s="23"/>
    </row>
    <row r="88" spans="1:9" s="10" customFormat="1" ht="25.5">
      <c r="A88" s="236" t="s">
        <v>676</v>
      </c>
      <c r="B88" s="195" t="s">
        <v>902</v>
      </c>
      <c r="C88" s="302" t="s">
        <v>552</v>
      </c>
      <c r="D88" s="303" t="s">
        <v>18</v>
      </c>
      <c r="E88" s="303">
        <v>1</v>
      </c>
      <c r="F88" s="303">
        <v>13.43</v>
      </c>
      <c r="G88" s="303">
        <v>13.43</v>
      </c>
      <c r="I88" s="23"/>
    </row>
    <row r="89" spans="1:9" s="10" customFormat="1" ht="18.75">
      <c r="A89" s="238"/>
      <c r="B89" s="239"/>
      <c r="C89" s="240" t="s">
        <v>538</v>
      </c>
      <c r="D89" s="301"/>
      <c r="E89" s="301"/>
      <c r="F89" s="301"/>
      <c r="G89" s="241"/>
      <c r="I89" s="23"/>
    </row>
    <row r="90" spans="1:9" s="10" customFormat="1" ht="27.75" customHeight="1">
      <c r="A90" s="236" t="s">
        <v>677</v>
      </c>
      <c r="B90" s="195" t="s">
        <v>903</v>
      </c>
      <c r="C90" s="305" t="s">
        <v>510</v>
      </c>
      <c r="D90" s="306" t="s">
        <v>18</v>
      </c>
      <c r="E90" s="306">
        <v>1</v>
      </c>
      <c r="F90" s="306">
        <v>21.24</v>
      </c>
      <c r="G90" s="306">
        <v>21.24</v>
      </c>
      <c r="I90" s="23"/>
    </row>
    <row r="91" spans="1:9" s="10" customFormat="1" ht="27.75" customHeight="1">
      <c r="A91" s="248" t="s">
        <v>678</v>
      </c>
      <c r="B91" s="446" t="s">
        <v>904</v>
      </c>
      <c r="C91" s="307" t="s">
        <v>513</v>
      </c>
      <c r="D91" s="309" t="s">
        <v>18</v>
      </c>
      <c r="E91" s="309">
        <v>1</v>
      </c>
      <c r="F91" s="309">
        <v>13.57</v>
      </c>
      <c r="G91" s="309">
        <v>13.57</v>
      </c>
      <c r="I91" s="23"/>
    </row>
    <row r="92" spans="1:9" s="10" customFormat="1" ht="26.25" customHeight="1">
      <c r="A92" s="248" t="s">
        <v>679</v>
      </c>
      <c r="B92" s="446" t="s">
        <v>905</v>
      </c>
      <c r="C92" s="307" t="s">
        <v>516</v>
      </c>
      <c r="D92" s="308" t="s">
        <v>18</v>
      </c>
      <c r="E92" s="308">
        <v>1</v>
      </c>
      <c r="F92" s="308">
        <v>9.82</v>
      </c>
      <c r="G92" s="308">
        <v>9.82</v>
      </c>
      <c r="I92" s="23"/>
    </row>
    <row r="93" spans="1:9" s="10" customFormat="1" ht="18.75">
      <c r="A93" s="236" t="s">
        <v>680</v>
      </c>
      <c r="B93" s="195" t="s">
        <v>906</v>
      </c>
      <c r="C93" s="305" t="s">
        <v>519</v>
      </c>
      <c r="D93" s="306" t="s">
        <v>21</v>
      </c>
      <c r="E93" s="306">
        <v>1</v>
      </c>
      <c r="F93" s="306">
        <v>4.36</v>
      </c>
      <c r="G93" s="306">
        <v>4.36</v>
      </c>
      <c r="I93" s="23"/>
    </row>
    <row r="94" spans="1:9" s="10" customFormat="1" ht="18.75">
      <c r="A94" s="415" t="s">
        <v>681</v>
      </c>
      <c r="B94" s="448" t="s">
        <v>1035</v>
      </c>
      <c r="C94" s="416" t="s">
        <v>522</v>
      </c>
      <c r="D94" s="417" t="s">
        <v>21</v>
      </c>
      <c r="E94" s="417">
        <v>1</v>
      </c>
      <c r="F94" s="417">
        <v>3.72</v>
      </c>
      <c r="G94" s="417">
        <v>3.72</v>
      </c>
      <c r="I94" s="23"/>
    </row>
    <row r="95" spans="1:9" s="10" customFormat="1" ht="60">
      <c r="A95" s="418" t="s">
        <v>682</v>
      </c>
      <c r="B95" s="451" t="s">
        <v>907</v>
      </c>
      <c r="C95" s="419" t="s">
        <v>525</v>
      </c>
      <c r="D95" s="420" t="s">
        <v>21</v>
      </c>
      <c r="E95" s="420">
        <v>1</v>
      </c>
      <c r="F95" s="420">
        <v>58.98</v>
      </c>
      <c r="G95" s="420">
        <v>58.98</v>
      </c>
      <c r="I95" s="23"/>
    </row>
    <row r="96" spans="1:9" s="10" customFormat="1" ht="25.5">
      <c r="A96" s="236" t="s">
        <v>683</v>
      </c>
      <c r="B96" s="195" t="s">
        <v>908</v>
      </c>
      <c r="C96" s="302" t="s">
        <v>532</v>
      </c>
      <c r="D96" s="303" t="s">
        <v>21</v>
      </c>
      <c r="E96" s="303">
        <v>1</v>
      </c>
      <c r="F96" s="303">
        <v>1.41</v>
      </c>
      <c r="G96" s="303">
        <v>1.41</v>
      </c>
      <c r="I96" s="23"/>
    </row>
    <row r="97" spans="1:9" s="10" customFormat="1" ht="25.5">
      <c r="A97" s="236" t="s">
        <v>684</v>
      </c>
      <c r="B97" s="195" t="s">
        <v>909</v>
      </c>
      <c r="C97" s="302" t="s">
        <v>533</v>
      </c>
      <c r="D97" s="303" t="s">
        <v>21</v>
      </c>
      <c r="E97" s="303">
        <v>1</v>
      </c>
      <c r="F97" s="303">
        <v>1.76</v>
      </c>
      <c r="G97" s="303">
        <v>1.76</v>
      </c>
      <c r="I97" s="23"/>
    </row>
    <row r="98" spans="1:7" s="10" customFormat="1" ht="30">
      <c r="A98" s="28" t="s">
        <v>685</v>
      </c>
      <c r="B98" s="97" t="s">
        <v>792</v>
      </c>
      <c r="C98" s="278" t="s">
        <v>570</v>
      </c>
      <c r="D98" s="15" t="s">
        <v>19</v>
      </c>
      <c r="E98" s="15">
        <v>1</v>
      </c>
      <c r="F98" s="15">
        <v>203.52</v>
      </c>
      <c r="G98" s="15">
        <v>203.52</v>
      </c>
    </row>
    <row r="99" spans="1:9" s="10" customFormat="1" ht="25.5">
      <c r="A99" s="236" t="s">
        <v>686</v>
      </c>
      <c r="B99" s="195" t="s">
        <v>1049</v>
      </c>
      <c r="C99" s="302" t="s">
        <v>540</v>
      </c>
      <c r="D99" s="303" t="s">
        <v>19</v>
      </c>
      <c r="E99" s="303">
        <v>1</v>
      </c>
      <c r="F99" s="303">
        <v>440.62</v>
      </c>
      <c r="G99" s="303">
        <v>440.62</v>
      </c>
      <c r="I99" s="23"/>
    </row>
    <row r="100" spans="1:9" s="10" customFormat="1" ht="18.75">
      <c r="A100" s="238" t="s">
        <v>687</v>
      </c>
      <c r="B100" s="454"/>
      <c r="C100" s="240" t="s">
        <v>306</v>
      </c>
      <c r="D100" s="310"/>
      <c r="E100" s="310"/>
      <c r="F100" s="310"/>
      <c r="G100" s="310"/>
      <c r="I100" s="23"/>
    </row>
    <row r="101" spans="1:9" s="376" customFormat="1" ht="45">
      <c r="A101" s="248" t="s">
        <v>688</v>
      </c>
      <c r="B101" s="139" t="s">
        <v>1052</v>
      </c>
      <c r="C101" s="255" t="s">
        <v>27</v>
      </c>
      <c r="D101" s="256" t="s">
        <v>21</v>
      </c>
      <c r="E101" s="63">
        <v>1</v>
      </c>
      <c r="F101" s="63">
        <v>1079.1299999999999</v>
      </c>
      <c r="G101" s="63">
        <v>1079.13</v>
      </c>
      <c r="I101" s="383"/>
    </row>
    <row r="102" spans="1:7" ht="60">
      <c r="A102" s="254" t="s">
        <v>689</v>
      </c>
      <c r="B102" s="141" t="s">
        <v>918</v>
      </c>
      <c r="C102" s="255" t="s">
        <v>149</v>
      </c>
      <c r="D102" s="256" t="s">
        <v>21</v>
      </c>
      <c r="E102" s="256">
        <v>1</v>
      </c>
      <c r="F102" s="256">
        <v>107.12</v>
      </c>
      <c r="G102" s="256">
        <v>107.12</v>
      </c>
    </row>
    <row r="103" spans="1:7" ht="60">
      <c r="A103" s="254" t="s">
        <v>690</v>
      </c>
      <c r="B103" s="141" t="s">
        <v>919</v>
      </c>
      <c r="C103" s="255" t="s">
        <v>152</v>
      </c>
      <c r="D103" s="256" t="s">
        <v>21</v>
      </c>
      <c r="E103" s="256">
        <v>1</v>
      </c>
      <c r="F103" s="256">
        <v>129.96</v>
      </c>
      <c r="G103" s="256">
        <v>129.96</v>
      </c>
    </row>
    <row r="104" spans="1:7" ht="60">
      <c r="A104" s="28" t="s">
        <v>691</v>
      </c>
      <c r="B104" s="97" t="s">
        <v>920</v>
      </c>
      <c r="C104" s="278" t="s">
        <v>561</v>
      </c>
      <c r="D104" s="15" t="s">
        <v>21</v>
      </c>
      <c r="E104" s="27">
        <v>1</v>
      </c>
      <c r="F104" s="27">
        <v>202.04</v>
      </c>
      <c r="G104" s="27">
        <v>202.04</v>
      </c>
    </row>
    <row r="105" spans="1:7" s="52" customFormat="1" ht="30">
      <c r="A105" s="254" t="s">
        <v>692</v>
      </c>
      <c r="B105" s="139" t="s">
        <v>1055</v>
      </c>
      <c r="C105" s="255" t="s">
        <v>28</v>
      </c>
      <c r="D105" s="256" t="s">
        <v>21</v>
      </c>
      <c r="E105" s="256">
        <v>1</v>
      </c>
      <c r="F105" s="360">
        <v>219.76000000000002</v>
      </c>
      <c r="G105" s="360">
        <v>219.76</v>
      </c>
    </row>
    <row r="106" spans="1:7" s="52" customFormat="1" ht="45">
      <c r="A106" s="254" t="s">
        <v>693</v>
      </c>
      <c r="B106" s="509" t="s">
        <v>1056</v>
      </c>
      <c r="C106" s="312" t="s">
        <v>232</v>
      </c>
      <c r="D106" s="462" t="s">
        <v>21</v>
      </c>
      <c r="E106" s="510">
        <v>1</v>
      </c>
      <c r="F106" s="497">
        <v>2264.69</v>
      </c>
      <c r="G106" s="498">
        <v>2264.69</v>
      </c>
    </row>
    <row r="107" spans="1:9" s="59" customFormat="1" ht="45">
      <c r="A107" s="248" t="s">
        <v>694</v>
      </c>
      <c r="B107" s="509" t="s">
        <v>1057</v>
      </c>
      <c r="C107" s="312" t="s">
        <v>234</v>
      </c>
      <c r="D107" s="462" t="s">
        <v>21</v>
      </c>
      <c r="E107" s="510">
        <v>1</v>
      </c>
      <c r="F107" s="510">
        <v>2711.83</v>
      </c>
      <c r="G107" s="63">
        <v>2711.83</v>
      </c>
      <c r="I107" s="511"/>
    </row>
    <row r="108" spans="1:9" s="10" customFormat="1" ht="30">
      <c r="A108" s="248" t="s">
        <v>695</v>
      </c>
      <c r="B108" s="139" t="s">
        <v>1058</v>
      </c>
      <c r="C108" s="255" t="s">
        <v>448</v>
      </c>
      <c r="D108" s="256" t="s">
        <v>21</v>
      </c>
      <c r="E108" s="256">
        <v>1</v>
      </c>
      <c r="F108" s="360">
        <v>260.90999999999997</v>
      </c>
      <c r="G108" s="360">
        <v>260.91</v>
      </c>
      <c r="I108" s="14"/>
    </row>
    <row r="109" spans="1:7" s="54" customFormat="1" ht="45">
      <c r="A109" s="254" t="s">
        <v>696</v>
      </c>
      <c r="B109" s="139" t="s">
        <v>1063</v>
      </c>
      <c r="C109" s="255" t="s">
        <v>382</v>
      </c>
      <c r="D109" s="256" t="s">
        <v>21</v>
      </c>
      <c r="E109" s="63">
        <v>1</v>
      </c>
      <c r="F109" s="498">
        <v>44.01</v>
      </c>
      <c r="G109" s="498">
        <v>44.01</v>
      </c>
    </row>
    <row r="110" spans="1:9" ht="45">
      <c r="A110" s="254" t="s">
        <v>697</v>
      </c>
      <c r="B110" s="139" t="s">
        <v>1065</v>
      </c>
      <c r="C110" s="255" t="s">
        <v>383</v>
      </c>
      <c r="D110" s="256" t="s">
        <v>21</v>
      </c>
      <c r="E110" s="256">
        <v>1</v>
      </c>
      <c r="F110" s="360">
        <v>41.76</v>
      </c>
      <c r="G110" s="360">
        <v>41.76</v>
      </c>
      <c r="I110" s="54"/>
    </row>
    <row r="111" spans="1:7" ht="15.75">
      <c r="A111" s="621" t="s">
        <v>698</v>
      </c>
      <c r="B111" s="141" t="s">
        <v>924</v>
      </c>
      <c r="C111" s="255" t="s">
        <v>580</v>
      </c>
      <c r="D111" s="256" t="s">
        <v>21</v>
      </c>
      <c r="E111" s="256">
        <v>1</v>
      </c>
      <c r="F111" s="515">
        <v>23</v>
      </c>
      <c r="G111" s="515">
        <v>23</v>
      </c>
    </row>
    <row r="112" spans="1:7" s="52" customFormat="1" ht="18.75">
      <c r="A112" s="243" t="s">
        <v>699</v>
      </c>
      <c r="B112" s="348"/>
      <c r="C112" s="240" t="s">
        <v>29</v>
      </c>
      <c r="D112" s="241"/>
      <c r="E112" s="241"/>
      <c r="F112" s="241"/>
      <c r="G112" s="241"/>
    </row>
    <row r="113" spans="1:7" ht="30">
      <c r="A113" s="28" t="s">
        <v>700</v>
      </c>
      <c r="B113" s="97" t="s">
        <v>861</v>
      </c>
      <c r="C113" s="277" t="s">
        <v>198</v>
      </c>
      <c r="D113" s="15" t="s">
        <v>15</v>
      </c>
      <c r="E113" s="15">
        <v>1</v>
      </c>
      <c r="F113" s="15">
        <v>414.12</v>
      </c>
      <c r="G113" s="15">
        <v>414.12</v>
      </c>
    </row>
    <row r="114" spans="1:7" ht="75">
      <c r="A114" s="254" t="s">
        <v>701</v>
      </c>
      <c r="B114" s="141" t="s">
        <v>927</v>
      </c>
      <c r="C114" s="312" t="s">
        <v>581</v>
      </c>
      <c r="D114" s="256" t="s">
        <v>21</v>
      </c>
      <c r="E114" s="256">
        <v>1</v>
      </c>
      <c r="F114" s="256">
        <v>225.14</v>
      </c>
      <c r="G114" s="256">
        <v>225.14</v>
      </c>
    </row>
    <row r="115" spans="1:8" ht="45">
      <c r="A115" s="254" t="s">
        <v>702</v>
      </c>
      <c r="B115" s="141" t="s">
        <v>928</v>
      </c>
      <c r="C115" s="312" t="s">
        <v>277</v>
      </c>
      <c r="D115" s="256" t="s">
        <v>15</v>
      </c>
      <c r="E115" s="256">
        <v>1</v>
      </c>
      <c r="F115" s="256">
        <v>294.13</v>
      </c>
      <c r="G115" s="256">
        <v>294.13</v>
      </c>
      <c r="H115" s="54"/>
    </row>
    <row r="116" spans="1:7" ht="45">
      <c r="A116" s="254" t="s">
        <v>703</v>
      </c>
      <c r="B116" s="139" t="s">
        <v>1070</v>
      </c>
      <c r="C116" s="312" t="s">
        <v>439</v>
      </c>
      <c r="D116" s="256" t="s">
        <v>15</v>
      </c>
      <c r="E116" s="256">
        <v>1</v>
      </c>
      <c r="F116" s="360">
        <v>37.92</v>
      </c>
      <c r="G116" s="360">
        <v>37.92</v>
      </c>
    </row>
    <row r="117" spans="1:7" ht="45">
      <c r="A117" s="28" t="s">
        <v>704</v>
      </c>
      <c r="B117" s="97" t="s">
        <v>934</v>
      </c>
      <c r="C117" s="277" t="s">
        <v>387</v>
      </c>
      <c r="D117" s="15" t="s">
        <v>15</v>
      </c>
      <c r="E117" s="15">
        <v>1</v>
      </c>
      <c r="F117" s="537">
        <v>153.68</v>
      </c>
      <c r="G117" s="537">
        <v>153.68</v>
      </c>
    </row>
    <row r="118" spans="1:7" s="52" customFormat="1" ht="18.75">
      <c r="A118" s="254" t="s">
        <v>705</v>
      </c>
      <c r="B118" s="141" t="s">
        <v>1073</v>
      </c>
      <c r="C118" s="322" t="s">
        <v>450</v>
      </c>
      <c r="D118" s="256" t="s">
        <v>15</v>
      </c>
      <c r="E118" s="256">
        <v>1</v>
      </c>
      <c r="F118" s="256">
        <v>417.15</v>
      </c>
      <c r="G118" s="256">
        <v>417.15</v>
      </c>
    </row>
    <row r="119" spans="1:7" ht="18.75">
      <c r="A119" s="243" t="s">
        <v>706</v>
      </c>
      <c r="B119" s="348"/>
      <c r="C119" s="262" t="s">
        <v>30</v>
      </c>
      <c r="D119" s="241"/>
      <c r="E119" s="241"/>
      <c r="F119" s="241"/>
      <c r="G119" s="241"/>
    </row>
    <row r="120" spans="1:7" ht="18.75">
      <c r="A120" s="28" t="s">
        <v>707</v>
      </c>
      <c r="B120" s="456" t="s">
        <v>940</v>
      </c>
      <c r="C120" s="316" t="s">
        <v>31</v>
      </c>
      <c r="D120" s="317" t="s">
        <v>15</v>
      </c>
      <c r="E120" s="317">
        <v>1</v>
      </c>
      <c r="F120" s="317">
        <v>95.44</v>
      </c>
      <c r="G120" s="317">
        <v>95.44</v>
      </c>
    </row>
    <row r="121" spans="1:7" ht="18.75">
      <c r="A121" s="243" t="s">
        <v>708</v>
      </c>
      <c r="B121" s="348"/>
      <c r="C121" s="262" t="s">
        <v>32</v>
      </c>
      <c r="D121" s="241"/>
      <c r="E121" s="241"/>
      <c r="F121" s="241"/>
      <c r="G121" s="241"/>
    </row>
    <row r="122" spans="1:7" ht="30">
      <c r="A122" s="254" t="s">
        <v>709</v>
      </c>
      <c r="B122" s="141" t="s">
        <v>853</v>
      </c>
      <c r="C122" s="269" t="s">
        <v>206</v>
      </c>
      <c r="D122" s="256" t="s">
        <v>15</v>
      </c>
      <c r="E122" s="256">
        <v>1</v>
      </c>
      <c r="F122" s="256">
        <v>3.43</v>
      </c>
      <c r="G122" s="256">
        <v>3.43</v>
      </c>
    </row>
    <row r="123" spans="1:7" ht="45">
      <c r="A123" s="254" t="s">
        <v>710</v>
      </c>
      <c r="B123" s="139" t="s">
        <v>1074</v>
      </c>
      <c r="C123" s="269" t="s">
        <v>755</v>
      </c>
      <c r="D123" s="256" t="s">
        <v>15</v>
      </c>
      <c r="E123" s="256">
        <v>1</v>
      </c>
      <c r="F123" s="256">
        <v>31.24</v>
      </c>
      <c r="G123" s="256">
        <v>31.24</v>
      </c>
    </row>
    <row r="124" spans="1:7" ht="47.25">
      <c r="A124" s="94" t="s">
        <v>711</v>
      </c>
      <c r="B124" s="392" t="s">
        <v>944</v>
      </c>
      <c r="C124" s="393" t="s">
        <v>584</v>
      </c>
      <c r="D124" s="392" t="s">
        <v>15</v>
      </c>
      <c r="E124" s="394">
        <v>1</v>
      </c>
      <c r="F124" s="394">
        <v>16.7</v>
      </c>
      <c r="G124" s="394">
        <v>16.7</v>
      </c>
    </row>
    <row r="125" spans="1:7" ht="45">
      <c r="A125" s="254" t="s">
        <v>712</v>
      </c>
      <c r="B125" s="141" t="s">
        <v>950</v>
      </c>
      <c r="C125" s="269" t="s">
        <v>585</v>
      </c>
      <c r="D125" s="256" t="s">
        <v>15</v>
      </c>
      <c r="E125" s="256">
        <v>1</v>
      </c>
      <c r="F125" s="256">
        <v>54</v>
      </c>
      <c r="G125" s="256">
        <v>54</v>
      </c>
    </row>
    <row r="126" spans="1:7" s="52" customFormat="1" ht="18.75">
      <c r="A126" s="254" t="s">
        <v>713</v>
      </c>
      <c r="B126" s="141" t="s">
        <v>953</v>
      </c>
      <c r="C126" s="269" t="s">
        <v>465</v>
      </c>
      <c r="D126" s="256" t="s">
        <v>18</v>
      </c>
      <c r="E126" s="256">
        <v>1</v>
      </c>
      <c r="F126" s="256">
        <v>46.52</v>
      </c>
      <c r="G126" s="256">
        <v>46.52</v>
      </c>
    </row>
    <row r="127" spans="1:7" ht="45">
      <c r="A127" s="254" t="s">
        <v>714</v>
      </c>
      <c r="B127" s="141" t="s">
        <v>955</v>
      </c>
      <c r="C127" s="269" t="s">
        <v>586</v>
      </c>
      <c r="D127" s="256" t="s">
        <v>15</v>
      </c>
      <c r="E127" s="256">
        <v>1</v>
      </c>
      <c r="F127" s="256">
        <v>72.53</v>
      </c>
      <c r="G127" s="256">
        <v>72.53</v>
      </c>
    </row>
    <row r="128" spans="1:7" ht="60">
      <c r="A128" s="28" t="s">
        <v>715</v>
      </c>
      <c r="B128" s="139" t="s">
        <v>1078</v>
      </c>
      <c r="C128" s="269" t="s">
        <v>756</v>
      </c>
      <c r="D128" s="256" t="s">
        <v>1079</v>
      </c>
      <c r="E128" s="256">
        <v>1</v>
      </c>
      <c r="F128" s="547">
        <v>147.10000000000002</v>
      </c>
      <c r="G128" s="360">
        <v>147.1</v>
      </c>
    </row>
    <row r="129" spans="1:8" ht="18.75">
      <c r="A129" s="254" t="s">
        <v>716</v>
      </c>
      <c r="B129" s="141" t="s">
        <v>960</v>
      </c>
      <c r="C129" s="255" t="s">
        <v>562</v>
      </c>
      <c r="D129" s="256" t="s">
        <v>15</v>
      </c>
      <c r="E129" s="256">
        <v>1</v>
      </c>
      <c r="F129" s="515">
        <v>40.24</v>
      </c>
      <c r="G129" s="515">
        <v>40.24</v>
      </c>
      <c r="H129" s="52"/>
    </row>
    <row r="130" spans="1:7" s="52" customFormat="1" ht="60">
      <c r="A130" s="254" t="s">
        <v>717</v>
      </c>
      <c r="B130" s="139" t="s">
        <v>1080</v>
      </c>
      <c r="C130" s="255" t="s">
        <v>33</v>
      </c>
      <c r="D130" s="256" t="s">
        <v>15</v>
      </c>
      <c r="E130" s="256">
        <v>1</v>
      </c>
      <c r="F130" s="360">
        <v>123.93</v>
      </c>
      <c r="G130" s="360">
        <v>123.93</v>
      </c>
    </row>
    <row r="131" spans="1:7" ht="15.75">
      <c r="A131" s="318" t="s">
        <v>718</v>
      </c>
      <c r="B131" s="319"/>
      <c r="C131" s="240" t="s">
        <v>34</v>
      </c>
      <c r="D131" s="241"/>
      <c r="E131" s="241"/>
      <c r="F131" s="551"/>
      <c r="G131" s="551"/>
    </row>
    <row r="132" spans="1:8" ht="18.75">
      <c r="A132" s="318"/>
      <c r="B132" s="319"/>
      <c r="C132" s="240" t="s">
        <v>313</v>
      </c>
      <c r="D132" s="241"/>
      <c r="E132" s="241"/>
      <c r="F132" s="241"/>
      <c r="G132" s="241"/>
      <c r="H132" s="347">
        <v>95.42</v>
      </c>
    </row>
    <row r="133" spans="1:9" ht="60">
      <c r="A133" s="254" t="s">
        <v>719</v>
      </c>
      <c r="B133" s="139" t="s">
        <v>1082</v>
      </c>
      <c r="C133" s="312" t="s">
        <v>769</v>
      </c>
      <c r="D133" s="256" t="s">
        <v>15</v>
      </c>
      <c r="E133" s="256">
        <v>1</v>
      </c>
      <c r="F133" s="256">
        <v>74.08</v>
      </c>
      <c r="G133" s="256">
        <v>74.08</v>
      </c>
      <c r="I133" s="17"/>
    </row>
    <row r="134" spans="1:7" ht="30">
      <c r="A134" s="254" t="s">
        <v>720</v>
      </c>
      <c r="B134" s="141" t="s">
        <v>976</v>
      </c>
      <c r="C134" s="312" t="s">
        <v>384</v>
      </c>
      <c r="D134" s="256" t="s">
        <v>15</v>
      </c>
      <c r="E134" s="256">
        <v>1</v>
      </c>
      <c r="F134" s="256">
        <v>98.64</v>
      </c>
      <c r="G134" s="256">
        <v>98.64</v>
      </c>
    </row>
    <row r="135" spans="1:7" ht="18.75">
      <c r="A135" s="28"/>
      <c r="B135" s="97"/>
      <c r="C135" s="237" t="s">
        <v>314</v>
      </c>
      <c r="D135" s="15"/>
      <c r="E135" s="15"/>
      <c r="F135" s="15"/>
      <c r="G135" s="15"/>
    </row>
    <row r="136" spans="1:7" s="385" customFormat="1" ht="30">
      <c r="A136" s="629" t="s">
        <v>721</v>
      </c>
      <c r="B136" s="630" t="s">
        <v>1271</v>
      </c>
      <c r="C136" s="631" t="s">
        <v>315</v>
      </c>
      <c r="D136" s="632" t="s">
        <v>1272</v>
      </c>
      <c r="E136" s="632">
        <v>1</v>
      </c>
      <c r="F136" s="632">
        <v>75.06</v>
      </c>
      <c r="G136" s="632">
        <v>75.06</v>
      </c>
    </row>
    <row r="137" spans="1:7" ht="30">
      <c r="A137" s="254" t="s">
        <v>722</v>
      </c>
      <c r="B137" s="141" t="s">
        <v>986</v>
      </c>
      <c r="C137" s="312" t="s">
        <v>587</v>
      </c>
      <c r="D137" s="256" t="s">
        <v>18</v>
      </c>
      <c r="E137" s="256">
        <v>1</v>
      </c>
      <c r="F137" s="256">
        <v>38.01</v>
      </c>
      <c r="G137" s="256">
        <v>38.01</v>
      </c>
    </row>
    <row r="138" spans="1:7" ht="45">
      <c r="A138" s="254" t="s">
        <v>723</v>
      </c>
      <c r="B138" s="141" t="s">
        <v>997</v>
      </c>
      <c r="C138" s="312" t="s">
        <v>35</v>
      </c>
      <c r="D138" s="256" t="s">
        <v>15</v>
      </c>
      <c r="E138" s="256">
        <v>1</v>
      </c>
      <c r="F138" s="256">
        <v>123.34</v>
      </c>
      <c r="G138" s="256">
        <v>123.34</v>
      </c>
    </row>
    <row r="139" spans="1:7" ht="45">
      <c r="A139" s="254" t="s">
        <v>724</v>
      </c>
      <c r="B139" s="141" t="s">
        <v>998</v>
      </c>
      <c r="C139" s="312" t="s">
        <v>327</v>
      </c>
      <c r="D139" s="256" t="s">
        <v>15</v>
      </c>
      <c r="E139" s="256">
        <v>1</v>
      </c>
      <c r="F139" s="256">
        <v>123.34</v>
      </c>
      <c r="G139" s="256">
        <v>123.34</v>
      </c>
    </row>
    <row r="140" spans="1:7" ht="30">
      <c r="A140" s="254" t="s">
        <v>725</v>
      </c>
      <c r="B140" s="141" t="s">
        <v>1083</v>
      </c>
      <c r="C140" s="312" t="s">
        <v>426</v>
      </c>
      <c r="D140" s="256" t="s">
        <v>19</v>
      </c>
      <c r="E140" s="256">
        <v>1</v>
      </c>
      <c r="F140" s="62">
        <v>447.59999999999997</v>
      </c>
      <c r="G140" s="256">
        <v>447.6</v>
      </c>
    </row>
    <row r="141" spans="1:7" ht="30">
      <c r="A141" s="28" t="s">
        <v>726</v>
      </c>
      <c r="B141" s="141" t="s">
        <v>1000</v>
      </c>
      <c r="C141" s="312" t="s">
        <v>317</v>
      </c>
      <c r="D141" s="256" t="s">
        <v>15</v>
      </c>
      <c r="E141" s="256">
        <v>1.1224</v>
      </c>
      <c r="F141" s="360">
        <v>18.68</v>
      </c>
      <c r="G141" s="360">
        <v>20.96</v>
      </c>
    </row>
    <row r="142" spans="1:9" s="3" customFormat="1" ht="75">
      <c r="A142" s="343" t="s">
        <v>727</v>
      </c>
      <c r="B142" s="120" t="s">
        <v>841</v>
      </c>
      <c r="C142" s="260" t="s">
        <v>559</v>
      </c>
      <c r="D142" s="257" t="s">
        <v>19</v>
      </c>
      <c r="E142" s="266">
        <v>1</v>
      </c>
      <c r="F142" s="408">
        <v>1942.94</v>
      </c>
      <c r="G142" s="408">
        <v>1942.94</v>
      </c>
      <c r="I142" s="2"/>
    </row>
    <row r="143" spans="1:7" ht="30">
      <c r="A143" s="28" t="s">
        <v>728</v>
      </c>
      <c r="B143" s="141" t="s">
        <v>1001</v>
      </c>
      <c r="C143" s="312" t="s">
        <v>569</v>
      </c>
      <c r="D143" s="256" t="s">
        <v>19</v>
      </c>
      <c r="E143" s="256">
        <v>1</v>
      </c>
      <c r="F143" s="256">
        <v>2280.07</v>
      </c>
      <c r="G143" s="256">
        <v>2280.07</v>
      </c>
    </row>
    <row r="144" spans="1:7" ht="18.75">
      <c r="A144" s="28" t="s">
        <v>729</v>
      </c>
      <c r="B144" s="141" t="s">
        <v>1006</v>
      </c>
      <c r="C144" s="312" t="s">
        <v>333</v>
      </c>
      <c r="D144" s="256" t="s">
        <v>19</v>
      </c>
      <c r="E144" s="256">
        <v>1</v>
      </c>
      <c r="F144" s="256">
        <v>108</v>
      </c>
      <c r="G144" s="256">
        <v>108</v>
      </c>
    </row>
    <row r="145" spans="1:7" ht="30">
      <c r="A145" s="28" t="s">
        <v>730</v>
      </c>
      <c r="B145" s="141" t="s">
        <v>1007</v>
      </c>
      <c r="C145" s="312" t="s">
        <v>588</v>
      </c>
      <c r="D145" s="256" t="s">
        <v>15</v>
      </c>
      <c r="E145" s="256">
        <v>1</v>
      </c>
      <c r="F145" s="256">
        <v>8.47</v>
      </c>
      <c r="G145" s="256">
        <v>8.47</v>
      </c>
    </row>
    <row r="146" spans="1:7" ht="18.75">
      <c r="A146" s="28" t="s">
        <v>731</v>
      </c>
      <c r="B146" s="97"/>
      <c r="C146" s="237" t="s">
        <v>36</v>
      </c>
      <c r="D146" s="15"/>
      <c r="E146" s="15"/>
      <c r="F146" s="15"/>
      <c r="G146" s="15"/>
    </row>
    <row r="147" spans="1:7" ht="60">
      <c r="A147" s="254" t="s">
        <v>732</v>
      </c>
      <c r="B147" s="141" t="s">
        <v>1008</v>
      </c>
      <c r="C147" s="312" t="s">
        <v>591</v>
      </c>
      <c r="D147" s="256" t="s">
        <v>18</v>
      </c>
      <c r="E147" s="62">
        <v>1</v>
      </c>
      <c r="F147" s="62">
        <v>20.98</v>
      </c>
      <c r="G147" s="62">
        <v>20.98</v>
      </c>
    </row>
    <row r="148" spans="1:7" ht="18.75">
      <c r="A148" s="254" t="s">
        <v>733</v>
      </c>
      <c r="B148" s="139" t="s">
        <v>1008</v>
      </c>
      <c r="C148" s="322" t="s">
        <v>385</v>
      </c>
      <c r="D148" s="256" t="s">
        <v>597</v>
      </c>
      <c r="E148" s="62">
        <v>9</v>
      </c>
      <c r="F148" s="62">
        <v>20.98</v>
      </c>
      <c r="G148" s="62">
        <v>188.82</v>
      </c>
    </row>
    <row r="149" spans="1:7" ht="18.75">
      <c r="A149" s="28" t="s">
        <v>734</v>
      </c>
      <c r="B149" s="109" t="s">
        <v>1086</v>
      </c>
      <c r="C149" s="277" t="s">
        <v>386</v>
      </c>
      <c r="D149" s="15" t="s">
        <v>597</v>
      </c>
      <c r="E149" s="8"/>
      <c r="F149" s="8">
        <v>19.26</v>
      </c>
      <c r="G149" s="8"/>
    </row>
    <row r="150" spans="1:7" ht="45">
      <c r="A150" s="254" t="s">
        <v>735</v>
      </c>
      <c r="B150" s="141" t="s">
        <v>1011</v>
      </c>
      <c r="C150" s="312" t="s">
        <v>592</v>
      </c>
      <c r="D150" s="256" t="s">
        <v>18</v>
      </c>
      <c r="E150" s="62">
        <v>1</v>
      </c>
      <c r="F150" s="62">
        <v>49.71</v>
      </c>
      <c r="G150" s="62">
        <v>49.71</v>
      </c>
    </row>
    <row r="151" spans="1:7" ht="45">
      <c r="A151" s="28" t="s">
        <v>736</v>
      </c>
      <c r="B151" s="97" t="s">
        <v>1012</v>
      </c>
      <c r="C151" s="277" t="s">
        <v>593</v>
      </c>
      <c r="D151" s="15" t="s">
        <v>18</v>
      </c>
      <c r="E151" s="15">
        <v>1</v>
      </c>
      <c r="F151" s="15">
        <v>40.93</v>
      </c>
      <c r="G151" s="15">
        <v>40.93</v>
      </c>
    </row>
    <row r="152" spans="1:7" ht="60">
      <c r="A152" s="28" t="s">
        <v>737</v>
      </c>
      <c r="B152" s="109" t="s">
        <v>1087</v>
      </c>
      <c r="C152" s="277" t="s">
        <v>424</v>
      </c>
      <c r="D152" s="15" t="s">
        <v>18</v>
      </c>
      <c r="E152" s="15">
        <v>1</v>
      </c>
      <c r="F152" s="15">
        <v>28.04</v>
      </c>
      <c r="G152" s="15">
        <v>28.04</v>
      </c>
    </row>
    <row r="153" spans="1:7" ht="18.75">
      <c r="A153" s="243" t="s">
        <v>738</v>
      </c>
      <c r="B153" s="348"/>
      <c r="C153" s="240" t="s">
        <v>37</v>
      </c>
      <c r="D153" s="241"/>
      <c r="E153" s="241"/>
      <c r="F153" s="241"/>
      <c r="G153" s="241"/>
    </row>
    <row r="154" spans="1:7" ht="18.75">
      <c r="A154" s="254"/>
      <c r="B154" s="141"/>
      <c r="C154" s="249" t="s">
        <v>338</v>
      </c>
      <c r="D154" s="256"/>
      <c r="E154" s="256"/>
      <c r="F154" s="256"/>
      <c r="G154" s="256"/>
    </row>
    <row r="155" spans="1:7" ht="18.75">
      <c r="A155" s="254" t="s">
        <v>739</v>
      </c>
      <c r="B155" s="141" t="s">
        <v>1015</v>
      </c>
      <c r="C155" s="312" t="s">
        <v>594</v>
      </c>
      <c r="D155" s="256" t="s">
        <v>15</v>
      </c>
      <c r="E155" s="256">
        <v>1</v>
      </c>
      <c r="F155" s="256">
        <v>6.4</v>
      </c>
      <c r="G155" s="256">
        <v>6.4</v>
      </c>
    </row>
    <row r="156" spans="1:7" ht="18.75">
      <c r="A156" s="28"/>
      <c r="B156" s="97"/>
      <c r="C156" s="323" t="s">
        <v>340</v>
      </c>
      <c r="D156" s="15"/>
      <c r="E156" s="15"/>
      <c r="F156" s="15"/>
      <c r="G156" s="15"/>
    </row>
    <row r="157" spans="1:7" ht="45">
      <c r="A157" s="28" t="s">
        <v>740</v>
      </c>
      <c r="B157" s="97" t="s">
        <v>1016</v>
      </c>
      <c r="C157" s="278" t="s">
        <v>342</v>
      </c>
      <c r="D157" s="15" t="s">
        <v>15</v>
      </c>
      <c r="E157" s="15">
        <v>1</v>
      </c>
      <c r="F157" s="15" t="e">
        <v>#REF!</v>
      </c>
      <c r="G157" s="15" t="e">
        <v>#REF!</v>
      </c>
    </row>
    <row r="158" spans="1:7" ht="18.75">
      <c r="A158" s="28" t="s">
        <v>741</v>
      </c>
      <c r="B158" s="97" t="s">
        <v>870</v>
      </c>
      <c r="C158" s="278" t="s">
        <v>343</v>
      </c>
      <c r="D158" s="15" t="s">
        <v>15</v>
      </c>
      <c r="E158" s="15">
        <v>1</v>
      </c>
      <c r="F158" s="15">
        <v>2.47</v>
      </c>
      <c r="G158" s="15">
        <v>2.47</v>
      </c>
    </row>
    <row r="159" spans="1:7" ht="30">
      <c r="A159" s="28" t="s">
        <v>742</v>
      </c>
      <c r="B159" s="97" t="s">
        <v>1018</v>
      </c>
      <c r="C159" s="278" t="s">
        <v>349</v>
      </c>
      <c r="D159" s="15" t="s">
        <v>15</v>
      </c>
      <c r="E159" s="15">
        <v>1</v>
      </c>
      <c r="F159" s="15">
        <v>25.89</v>
      </c>
      <c r="G159" s="15">
        <v>25.89</v>
      </c>
    </row>
    <row r="160" spans="1:7" ht="30">
      <c r="A160" s="28" t="s">
        <v>743</v>
      </c>
      <c r="B160" s="97" t="s">
        <v>1021</v>
      </c>
      <c r="C160" s="278" t="s">
        <v>347</v>
      </c>
      <c r="D160" s="15" t="s">
        <v>15</v>
      </c>
      <c r="E160" s="15">
        <v>1</v>
      </c>
      <c r="F160" s="15">
        <v>12.78</v>
      </c>
      <c r="G160" s="15">
        <v>12.78</v>
      </c>
    </row>
    <row r="161" spans="1:7" ht="18.75">
      <c r="A161" s="28"/>
      <c r="B161" s="97"/>
      <c r="C161" s="323" t="s">
        <v>341</v>
      </c>
      <c r="D161" s="15"/>
      <c r="E161" s="15"/>
      <c r="F161" s="15"/>
      <c r="G161" s="15"/>
    </row>
    <row r="162" spans="1:7" ht="18.75">
      <c r="A162" s="28" t="s">
        <v>744</v>
      </c>
      <c r="B162" s="97" t="s">
        <v>1022</v>
      </c>
      <c r="C162" s="278" t="s">
        <v>345</v>
      </c>
      <c r="D162" s="15" t="s">
        <v>15</v>
      </c>
      <c r="E162" s="15">
        <v>1</v>
      </c>
      <c r="F162" s="15">
        <v>3.41</v>
      </c>
      <c r="G162" s="15">
        <v>3.41</v>
      </c>
    </row>
    <row r="163" spans="1:7" ht="18.75">
      <c r="A163" s="28" t="s">
        <v>745</v>
      </c>
      <c r="B163" s="97" t="s">
        <v>1024</v>
      </c>
      <c r="C163" s="278" t="s">
        <v>350</v>
      </c>
      <c r="D163" s="15" t="s">
        <v>15</v>
      </c>
      <c r="E163" s="15">
        <v>1</v>
      </c>
      <c r="F163" s="15">
        <v>19.92</v>
      </c>
      <c r="G163" s="15">
        <v>19.92</v>
      </c>
    </row>
    <row r="164" spans="1:7" ht="30">
      <c r="A164" s="28" t="s">
        <v>746</v>
      </c>
      <c r="B164" s="97" t="s">
        <v>1026</v>
      </c>
      <c r="C164" s="278" t="s">
        <v>39</v>
      </c>
      <c r="D164" s="15" t="s">
        <v>15</v>
      </c>
      <c r="E164" s="15">
        <v>1</v>
      </c>
      <c r="F164" s="15">
        <v>11.32</v>
      </c>
      <c r="G164" s="15">
        <v>11.32</v>
      </c>
    </row>
    <row r="165" spans="1:7" ht="18.75">
      <c r="A165" s="28"/>
      <c r="B165" s="97"/>
      <c r="C165" s="237" t="s">
        <v>339</v>
      </c>
      <c r="D165" s="15"/>
      <c r="E165" s="15"/>
      <c r="F165" s="15"/>
      <c r="G165" s="15"/>
    </row>
    <row r="166" spans="1:7" ht="18.75">
      <c r="A166" s="28" t="s">
        <v>747</v>
      </c>
      <c r="B166" s="97" t="s">
        <v>870</v>
      </c>
      <c r="C166" s="278" t="s">
        <v>343</v>
      </c>
      <c r="D166" s="15" t="s">
        <v>15</v>
      </c>
      <c r="E166" s="15">
        <v>1</v>
      </c>
      <c r="F166" s="15">
        <v>2.47</v>
      </c>
      <c r="G166" s="15">
        <v>2.47</v>
      </c>
    </row>
    <row r="167" spans="1:7" ht="30">
      <c r="A167" s="28" t="s">
        <v>748</v>
      </c>
      <c r="B167" s="97" t="s">
        <v>872</v>
      </c>
      <c r="C167" s="277" t="s">
        <v>40</v>
      </c>
      <c r="D167" s="15" t="s">
        <v>15</v>
      </c>
      <c r="E167" s="8">
        <v>1</v>
      </c>
      <c r="F167" s="8">
        <v>14.82</v>
      </c>
      <c r="G167" s="8">
        <v>14.82</v>
      </c>
    </row>
    <row r="168" spans="1:7" ht="30">
      <c r="A168" s="28" t="s">
        <v>749</v>
      </c>
      <c r="B168" s="97" t="s">
        <v>1028</v>
      </c>
      <c r="C168" s="277" t="s">
        <v>354</v>
      </c>
      <c r="D168" s="15" t="s">
        <v>15</v>
      </c>
      <c r="E168" s="15">
        <v>1</v>
      </c>
      <c r="F168" s="15">
        <v>19.65</v>
      </c>
      <c r="G168" s="15">
        <v>19.65</v>
      </c>
    </row>
    <row r="169" spans="1:7" s="4" customFormat="1" ht="18.75">
      <c r="A169" s="28" t="s">
        <v>1097</v>
      </c>
      <c r="B169" s="180"/>
      <c r="C169" s="323" t="s">
        <v>1136</v>
      </c>
      <c r="D169" s="606"/>
      <c r="E169" s="606"/>
      <c r="F169" s="606"/>
      <c r="G169" s="606"/>
    </row>
    <row r="170" spans="1:7" s="4" customFormat="1" ht="18.75">
      <c r="A170" s="28"/>
      <c r="B170" s="180"/>
      <c r="C170" s="323" t="s">
        <v>1137</v>
      </c>
      <c r="D170" s="606"/>
      <c r="E170" s="606"/>
      <c r="F170" s="606"/>
      <c r="G170" s="606"/>
    </row>
    <row r="171" spans="1:7" ht="18.75">
      <c r="A171" s="28" t="s">
        <v>1098</v>
      </c>
      <c r="B171" s="97" t="s">
        <v>1138</v>
      </c>
      <c r="C171" s="278" t="s">
        <v>1139</v>
      </c>
      <c r="D171" s="15" t="s">
        <v>21</v>
      </c>
      <c r="E171" s="15">
        <v>1</v>
      </c>
      <c r="F171" s="15">
        <v>216.21</v>
      </c>
      <c r="G171" s="15">
        <v>216.21</v>
      </c>
    </row>
    <row r="172" spans="1:7" ht="30">
      <c r="A172" s="28" t="s">
        <v>1142</v>
      </c>
      <c r="B172" s="97" t="s">
        <v>1143</v>
      </c>
      <c r="C172" s="260" t="s">
        <v>1144</v>
      </c>
      <c r="D172" s="15" t="s">
        <v>21</v>
      </c>
      <c r="E172" s="15">
        <v>1</v>
      </c>
      <c r="F172" s="15">
        <v>192.93</v>
      </c>
      <c r="G172" s="15">
        <v>192.93</v>
      </c>
    </row>
    <row r="173" spans="1:7" ht="15.75">
      <c r="A173" s="94" t="s">
        <v>1147</v>
      </c>
      <c r="B173" s="97" t="s">
        <v>1148</v>
      </c>
      <c r="C173" s="278" t="s">
        <v>1149</v>
      </c>
      <c r="D173" s="15" t="s">
        <v>21</v>
      </c>
      <c r="E173" s="15">
        <v>1</v>
      </c>
      <c r="F173" s="15">
        <v>576.82</v>
      </c>
      <c r="G173" s="15">
        <v>576.82</v>
      </c>
    </row>
    <row r="174" spans="1:7" ht="15.75">
      <c r="A174" s="94" t="s">
        <v>1154</v>
      </c>
      <c r="B174" s="97" t="s">
        <v>1155</v>
      </c>
      <c r="C174" s="278" t="s">
        <v>1234</v>
      </c>
      <c r="D174" s="15" t="s">
        <v>21</v>
      </c>
      <c r="E174" s="15">
        <v>1</v>
      </c>
      <c r="F174" s="15">
        <v>12.98</v>
      </c>
      <c r="G174" s="15">
        <v>12.98</v>
      </c>
    </row>
    <row r="175" spans="1:7" ht="15.75">
      <c r="A175" s="94" t="s">
        <v>1159</v>
      </c>
      <c r="B175" s="97" t="s">
        <v>1160</v>
      </c>
      <c r="C175" s="278" t="s">
        <v>1235</v>
      </c>
      <c r="D175" s="15" t="s">
        <v>21</v>
      </c>
      <c r="E175" s="15">
        <v>1</v>
      </c>
      <c r="F175" s="15">
        <v>12.98</v>
      </c>
      <c r="G175" s="15">
        <v>12.98</v>
      </c>
    </row>
    <row r="176" spans="1:7" ht="30">
      <c r="A176" s="94" t="s">
        <v>1162</v>
      </c>
      <c r="B176" s="97" t="s">
        <v>1163</v>
      </c>
      <c r="C176" s="278" t="s">
        <v>1236</v>
      </c>
      <c r="D176" s="15" t="s">
        <v>21</v>
      </c>
      <c r="E176" s="15">
        <v>1</v>
      </c>
      <c r="F176" s="15">
        <v>12.98</v>
      </c>
      <c r="G176" s="15">
        <v>12.98</v>
      </c>
    </row>
    <row r="177" spans="1:7" ht="15.75">
      <c r="A177" s="94" t="s">
        <v>1165</v>
      </c>
      <c r="B177" s="97" t="s">
        <v>1166</v>
      </c>
      <c r="C177" s="278" t="s">
        <v>1237</v>
      </c>
      <c r="D177" s="15" t="s">
        <v>21</v>
      </c>
      <c r="E177" s="15">
        <v>1</v>
      </c>
      <c r="F177" s="15">
        <v>13.06</v>
      </c>
      <c r="G177" s="15">
        <v>13.06</v>
      </c>
    </row>
    <row r="178" spans="1:7" ht="15.75">
      <c r="A178" s="94" t="s">
        <v>1168</v>
      </c>
      <c r="B178" s="97" t="s">
        <v>1169</v>
      </c>
      <c r="C178" s="278" t="s">
        <v>1238</v>
      </c>
      <c r="D178" s="15" t="s">
        <v>21</v>
      </c>
      <c r="E178" s="15">
        <v>1</v>
      </c>
      <c r="F178" s="15">
        <v>13.13</v>
      </c>
      <c r="G178" s="15">
        <v>13.13</v>
      </c>
    </row>
    <row r="179" spans="1:7" ht="15.75">
      <c r="A179" s="94" t="s">
        <v>1171</v>
      </c>
      <c r="B179" s="97" t="s">
        <v>1172</v>
      </c>
      <c r="C179" s="278" t="s">
        <v>1239</v>
      </c>
      <c r="D179" s="15" t="s">
        <v>21</v>
      </c>
      <c r="E179" s="15">
        <v>1</v>
      </c>
      <c r="F179" s="15">
        <v>12.98</v>
      </c>
      <c r="G179" s="15">
        <v>12.98</v>
      </c>
    </row>
    <row r="180" spans="1:7" ht="30">
      <c r="A180" s="94" t="s">
        <v>1175</v>
      </c>
      <c r="B180" s="97" t="s">
        <v>1176</v>
      </c>
      <c r="C180" s="278" t="s">
        <v>1231</v>
      </c>
      <c r="D180" s="15" t="s">
        <v>19</v>
      </c>
      <c r="E180" s="15">
        <v>1</v>
      </c>
      <c r="F180" s="15">
        <v>715.47</v>
      </c>
      <c r="G180" s="15">
        <v>715.47</v>
      </c>
    </row>
    <row r="181" spans="1:7" ht="30">
      <c r="A181" s="94" t="s">
        <v>1179</v>
      </c>
      <c r="B181" s="97" t="s">
        <v>1180</v>
      </c>
      <c r="C181" s="278" t="s">
        <v>1232</v>
      </c>
      <c r="D181" s="15" t="s">
        <v>19</v>
      </c>
      <c r="E181" s="15">
        <v>1</v>
      </c>
      <c r="F181" s="15">
        <v>380.54</v>
      </c>
      <c r="G181" s="15">
        <v>380.54</v>
      </c>
    </row>
    <row r="182" spans="1:7" ht="30">
      <c r="A182" s="94" t="s">
        <v>1183</v>
      </c>
      <c r="B182" s="97" t="s">
        <v>1184</v>
      </c>
      <c r="C182" s="278" t="s">
        <v>1233</v>
      </c>
      <c r="D182" s="15" t="s">
        <v>19</v>
      </c>
      <c r="E182" s="15">
        <v>1</v>
      </c>
      <c r="F182" s="15">
        <v>268.66</v>
      </c>
      <c r="G182" s="15">
        <v>268.66</v>
      </c>
    </row>
    <row r="183" spans="1:7" ht="45">
      <c r="A183" s="94" t="s">
        <v>1187</v>
      </c>
      <c r="B183" s="97" t="s">
        <v>1188</v>
      </c>
      <c r="C183" s="278" t="s">
        <v>1189</v>
      </c>
      <c r="D183" s="15" t="s">
        <v>15</v>
      </c>
      <c r="E183" s="15">
        <v>1</v>
      </c>
      <c r="F183" s="15">
        <v>65.53</v>
      </c>
      <c r="G183" s="15">
        <v>65.53</v>
      </c>
    </row>
    <row r="184" spans="1:7" ht="45">
      <c r="A184" s="94" t="s">
        <v>1198</v>
      </c>
      <c r="B184" s="97" t="s">
        <v>1199</v>
      </c>
      <c r="C184" s="278" t="s">
        <v>1200</v>
      </c>
      <c r="D184" s="15" t="s">
        <v>15</v>
      </c>
      <c r="E184" s="15">
        <v>1</v>
      </c>
      <c r="F184" s="15">
        <v>49.13</v>
      </c>
      <c r="G184" s="15">
        <v>49.13</v>
      </c>
    </row>
    <row r="185" spans="1:8" ht="30">
      <c r="A185" s="94" t="s">
        <v>1203</v>
      </c>
      <c r="B185" s="97" t="s">
        <v>1204</v>
      </c>
      <c r="C185" s="278" t="s">
        <v>1205</v>
      </c>
      <c r="D185" s="15" t="s">
        <v>15</v>
      </c>
      <c r="E185" s="15">
        <v>1</v>
      </c>
      <c r="F185" s="15">
        <v>4.92</v>
      </c>
      <c r="G185" s="15">
        <v>4.92</v>
      </c>
      <c r="H185" s="2" t="s">
        <v>1206</v>
      </c>
    </row>
    <row r="186" spans="1:8" ht="60">
      <c r="A186" s="94" t="s">
        <v>1209</v>
      </c>
      <c r="B186" s="97" t="s">
        <v>1210</v>
      </c>
      <c r="C186" s="278" t="s">
        <v>1211</v>
      </c>
      <c r="D186" s="15" t="s">
        <v>15</v>
      </c>
      <c r="E186" s="15">
        <v>1</v>
      </c>
      <c r="F186" s="15">
        <v>43.32</v>
      </c>
      <c r="G186" s="15">
        <v>43.32</v>
      </c>
      <c r="H186" s="2" t="s">
        <v>1206</v>
      </c>
    </row>
    <row r="187" spans="1:8" s="605" customFormat="1" ht="15.75">
      <c r="A187" s="601" t="s">
        <v>1212</v>
      </c>
      <c r="B187" s="607" t="s">
        <v>1213</v>
      </c>
      <c r="C187" s="608" t="s">
        <v>1214</v>
      </c>
      <c r="D187" s="609" t="s">
        <v>15</v>
      </c>
      <c r="E187" s="15">
        <v>1</v>
      </c>
      <c r="F187" s="609">
        <v>501.74</v>
      </c>
      <c r="G187" s="609">
        <v>501.74</v>
      </c>
      <c r="H187" s="605" t="s">
        <v>1215</v>
      </c>
    </row>
    <row r="188" spans="1:7" ht="30">
      <c r="A188" s="94" t="s">
        <v>1222</v>
      </c>
      <c r="B188" s="97" t="s">
        <v>1223</v>
      </c>
      <c r="C188" s="278" t="s">
        <v>1224</v>
      </c>
      <c r="D188" s="15" t="s">
        <v>15</v>
      </c>
      <c r="E188" s="15">
        <v>1</v>
      </c>
      <c r="F188" s="15">
        <v>34.05</v>
      </c>
      <c r="G188" s="15">
        <v>34.05</v>
      </c>
    </row>
    <row r="189" spans="1:7" ht="15.75">
      <c r="A189" s="94" t="s">
        <v>1229</v>
      </c>
      <c r="B189" s="97" t="s">
        <v>1240</v>
      </c>
      <c r="C189" s="278" t="s">
        <v>1241</v>
      </c>
      <c r="D189" s="15" t="s">
        <v>15</v>
      </c>
      <c r="E189" s="15">
        <v>1</v>
      </c>
      <c r="F189" s="15">
        <v>546.09</v>
      </c>
      <c r="G189" s="15"/>
    </row>
    <row r="190" spans="1:7" s="54" customFormat="1" ht="30">
      <c r="A190" s="94" t="s">
        <v>1230</v>
      </c>
      <c r="B190" s="97" t="s">
        <v>1259</v>
      </c>
      <c r="C190" s="278" t="s">
        <v>1260</v>
      </c>
      <c r="D190" s="15" t="s">
        <v>18</v>
      </c>
      <c r="E190" s="15">
        <v>1</v>
      </c>
      <c r="F190" s="613">
        <v>0</v>
      </c>
      <c r="G190" s="613">
        <v>0</v>
      </c>
    </row>
    <row r="191" spans="1:7" s="54" customFormat="1" ht="45">
      <c r="A191" s="94" t="s">
        <v>1247</v>
      </c>
      <c r="B191" s="97" t="s">
        <v>1251</v>
      </c>
      <c r="C191" s="278" t="s">
        <v>1252</v>
      </c>
      <c r="D191" s="15" t="s">
        <v>18</v>
      </c>
      <c r="E191" s="15">
        <v>1</v>
      </c>
      <c r="F191" s="613"/>
      <c r="G191" s="613"/>
    </row>
    <row r="192" spans="1:7" s="54" customFormat="1" ht="30">
      <c r="A192" s="94" t="s">
        <v>1246</v>
      </c>
      <c r="B192" s="97" t="s">
        <v>1250</v>
      </c>
      <c r="C192" s="278" t="s">
        <v>1248</v>
      </c>
      <c r="D192" s="15" t="s">
        <v>1249</v>
      </c>
      <c r="E192" s="15">
        <v>1</v>
      </c>
      <c r="F192" s="613"/>
      <c r="G192" s="613"/>
    </row>
    <row r="193" spans="1:7" s="54" customFormat="1" ht="15.75">
      <c r="A193" s="610"/>
      <c r="B193" s="611"/>
      <c r="C193" s="612"/>
      <c r="D193" s="613"/>
      <c r="E193" s="613"/>
      <c r="F193" s="613"/>
      <c r="G193" s="613"/>
    </row>
    <row r="194" spans="1:3" s="54" customFormat="1" ht="15.75">
      <c r="A194" s="602"/>
      <c r="B194" s="603"/>
      <c r="C194" s="604"/>
    </row>
    <row r="195" spans="1:3" s="54" customFormat="1" ht="15.75">
      <c r="A195" s="602"/>
      <c r="B195" s="603"/>
      <c r="C195" s="604"/>
    </row>
  </sheetData>
  <sheetProtection/>
  <mergeCells count="6">
    <mergeCell ref="C4:G4"/>
    <mergeCell ref="C5:G5"/>
    <mergeCell ref="C6:G6"/>
    <mergeCell ref="C7:G7"/>
    <mergeCell ref="C8:G8"/>
    <mergeCell ref="A9:G9"/>
  </mergeCells>
  <printOptions/>
  <pageMargins left="0.5118110236220472" right="0.5118110236220472" top="0.7874015748031497" bottom="0.7874015748031497" header="0.31496062992125984" footer="0.31496062992125984"/>
  <pageSetup horizontalDpi="600" verticalDpi="600" orientation="portrait" paperSize="9" scale="49" r:id="rId2"/>
  <headerFooter>
    <oddFooter>&amp;L&amp;20&amp;A&amp;C&amp;20Página &amp;P de &amp;N</oddFooter>
  </headerFooter>
  <drawing r:id="rId1"/>
</worksheet>
</file>

<file path=xl/worksheets/sheet3.xml><?xml version="1.0" encoding="utf-8"?>
<worksheet xmlns="http://schemas.openxmlformats.org/spreadsheetml/2006/main" xmlns:r="http://schemas.openxmlformats.org/officeDocument/2006/relationships">
  <dimension ref="A1:Q258"/>
  <sheetViews>
    <sheetView tabSelected="1" view="pageBreakPreview" zoomScale="80" zoomScaleNormal="80" zoomScaleSheetLayoutView="80" zoomScalePageLayoutView="0" workbookViewId="0" topLeftCell="A199">
      <selection activeCell="F92" sqref="F92"/>
    </sheetView>
  </sheetViews>
  <sheetFormatPr defaultColWidth="9.140625" defaultRowHeight="12.75"/>
  <cols>
    <col min="1" max="1" width="8.7109375" style="4" customWidth="1"/>
    <col min="2" max="2" width="18.28125" style="29" customWidth="1"/>
    <col min="3" max="3" width="85.57421875" style="2" customWidth="1"/>
    <col min="4" max="4" width="9.00390625" style="26" customWidth="1"/>
    <col min="5" max="5" width="14.7109375" style="9" customWidth="1"/>
    <col min="6" max="6" width="16.8515625" style="9" bestFit="1" customWidth="1"/>
    <col min="7" max="7" width="14.8515625" style="9" bestFit="1" customWidth="1"/>
    <col min="8" max="8" width="12.421875" style="1" customWidth="1"/>
    <col min="9" max="9" width="16.8515625" style="597" customWidth="1"/>
    <col min="10" max="10" width="11.7109375" style="750" bestFit="1" customWidth="1"/>
    <col min="11" max="11" width="11.8515625" style="750" bestFit="1" customWidth="1"/>
    <col min="12" max="12" width="9.140625" style="2" customWidth="1"/>
    <col min="13" max="13" width="12.57421875" style="2" bestFit="1" customWidth="1"/>
    <col min="14" max="16384" width="9.140625" style="2" customWidth="1"/>
  </cols>
  <sheetData>
    <row r="1" spans="1:11" s="69" customFormat="1" ht="20.25">
      <c r="A1" s="64"/>
      <c r="B1" s="65"/>
      <c r="C1" s="691" t="s">
        <v>11</v>
      </c>
      <c r="D1" s="692"/>
      <c r="E1" s="692"/>
      <c r="F1" s="66" t="s">
        <v>416</v>
      </c>
      <c r="G1" s="67" t="s">
        <v>418</v>
      </c>
      <c r="H1" s="68" t="s">
        <v>417</v>
      </c>
      <c r="I1" s="593"/>
      <c r="J1" s="743"/>
      <c r="K1" s="743"/>
    </row>
    <row r="2" spans="1:11" s="69" customFormat="1" ht="20.25">
      <c r="A2" s="70"/>
      <c r="B2" s="71"/>
      <c r="C2" s="693" t="s">
        <v>8</v>
      </c>
      <c r="D2" s="694"/>
      <c r="E2" s="694"/>
      <c r="F2" s="66" t="s">
        <v>600</v>
      </c>
      <c r="G2" s="67" t="s">
        <v>1279</v>
      </c>
      <c r="H2" s="72">
        <v>43812</v>
      </c>
      <c r="I2" s="593"/>
      <c r="J2" s="743"/>
      <c r="K2" s="743"/>
    </row>
    <row r="3" spans="1:11" s="69" customFormat="1" ht="20.25">
      <c r="A3" s="70"/>
      <c r="B3" s="71"/>
      <c r="C3" s="693" t="s">
        <v>9</v>
      </c>
      <c r="D3" s="694"/>
      <c r="E3" s="694"/>
      <c r="F3" s="37"/>
      <c r="G3" s="46"/>
      <c r="H3" s="47"/>
      <c r="I3" s="593"/>
      <c r="J3" s="743"/>
      <c r="K3" s="743"/>
    </row>
    <row r="4" spans="1:11" s="69" customFormat="1" ht="15.75">
      <c r="A4" s="70"/>
      <c r="B4" s="71"/>
      <c r="C4" s="77" t="s">
        <v>402</v>
      </c>
      <c r="D4" s="78"/>
      <c r="E4" s="78"/>
      <c r="F4" s="38"/>
      <c r="G4" s="46"/>
      <c r="H4" s="73"/>
      <c r="I4" s="593"/>
      <c r="J4" s="743"/>
      <c r="K4" s="743"/>
    </row>
    <row r="5" spans="1:11" s="69" customFormat="1" ht="15.75">
      <c r="A5" s="70"/>
      <c r="B5" s="71"/>
      <c r="C5" s="79" t="s">
        <v>554</v>
      </c>
      <c r="D5" s="80"/>
      <c r="E5" s="86" t="s">
        <v>241</v>
      </c>
      <c r="F5" s="672" t="s">
        <v>603</v>
      </c>
      <c r="G5" s="673"/>
      <c r="H5" s="674"/>
      <c r="I5" s="593"/>
      <c r="J5" s="743"/>
      <c r="K5" s="743"/>
    </row>
    <row r="6" spans="1:11" s="69" customFormat="1" ht="31.5">
      <c r="A6" s="70"/>
      <c r="B6" s="71"/>
      <c r="C6" s="79" t="s">
        <v>180</v>
      </c>
      <c r="D6" s="80"/>
      <c r="E6" s="85" t="s">
        <v>242</v>
      </c>
      <c r="F6" s="672" t="s">
        <v>602</v>
      </c>
      <c r="G6" s="673"/>
      <c r="H6" s="674"/>
      <c r="I6" s="593"/>
      <c r="J6" s="743"/>
      <c r="K6" s="743"/>
    </row>
    <row r="7" spans="1:11" s="50" customFormat="1" ht="15.75">
      <c r="A7" s="70"/>
      <c r="B7" s="71"/>
      <c r="C7" s="83" t="s">
        <v>1033</v>
      </c>
      <c r="D7" s="81"/>
      <c r="E7" s="85" t="s">
        <v>243</v>
      </c>
      <c r="F7" s="672" t="s">
        <v>601</v>
      </c>
      <c r="G7" s="673"/>
      <c r="H7" s="674"/>
      <c r="I7" s="593"/>
      <c r="J7" s="743"/>
      <c r="K7" s="743"/>
    </row>
    <row r="8" spans="1:11" s="50" customFormat="1" ht="15.75">
      <c r="A8" s="70"/>
      <c r="B8" s="71"/>
      <c r="C8" s="84" t="s">
        <v>1134</v>
      </c>
      <c r="D8" s="82"/>
      <c r="E8" s="87" t="s">
        <v>244</v>
      </c>
      <c r="F8" s="675" t="s">
        <v>401</v>
      </c>
      <c r="G8" s="676"/>
      <c r="H8" s="677"/>
      <c r="I8" s="593"/>
      <c r="J8" s="743"/>
      <c r="K8" s="743"/>
    </row>
    <row r="9" spans="1:11" s="50" customFormat="1" ht="15.75">
      <c r="A9" s="684" t="s">
        <v>1131</v>
      </c>
      <c r="B9" s="685"/>
      <c r="C9" s="686"/>
      <c r="D9" s="686"/>
      <c r="E9" s="686"/>
      <c r="F9" s="685"/>
      <c r="G9" s="685"/>
      <c r="H9" s="687"/>
      <c r="I9" s="593"/>
      <c r="J9" s="743"/>
      <c r="K9" s="743"/>
    </row>
    <row r="10" spans="1:11" s="50" customFormat="1" ht="15.75">
      <c r="A10" s="678" t="s">
        <v>0</v>
      </c>
      <c r="B10" s="678" t="s">
        <v>10</v>
      </c>
      <c r="C10" s="680" t="s">
        <v>1</v>
      </c>
      <c r="D10" s="682" t="s">
        <v>2</v>
      </c>
      <c r="E10" s="680" t="s">
        <v>3</v>
      </c>
      <c r="F10" s="680" t="s">
        <v>12</v>
      </c>
      <c r="G10" s="680" t="s">
        <v>13</v>
      </c>
      <c r="H10" s="689" t="s">
        <v>6</v>
      </c>
      <c r="I10" s="593"/>
      <c r="J10" s="743"/>
      <c r="K10" s="743"/>
    </row>
    <row r="11" spans="1:11" s="50" customFormat="1" ht="15.75">
      <c r="A11" s="679"/>
      <c r="B11" s="679"/>
      <c r="C11" s="681"/>
      <c r="D11" s="683"/>
      <c r="E11" s="681"/>
      <c r="F11" s="681"/>
      <c r="G11" s="688"/>
      <c r="H11" s="690"/>
      <c r="I11" s="593"/>
      <c r="J11" s="743"/>
      <c r="K11" s="743"/>
    </row>
    <row r="12" spans="1:11" s="50" customFormat="1" ht="37.5">
      <c r="A12" s="88" t="s">
        <v>610</v>
      </c>
      <c r="B12" s="88"/>
      <c r="C12" s="89" t="s">
        <v>14</v>
      </c>
      <c r="D12" s="90"/>
      <c r="E12" s="91"/>
      <c r="F12" s="91"/>
      <c r="G12" s="92"/>
      <c r="H12" s="93"/>
      <c r="I12" s="592" t="s">
        <v>1133</v>
      </c>
      <c r="J12" s="743"/>
      <c r="K12" s="743"/>
    </row>
    <row r="13" spans="1:13" s="101" customFormat="1" ht="31.5">
      <c r="A13" s="94" t="s">
        <v>611</v>
      </c>
      <c r="B13" s="95" t="str">
        <f>'Composição de Preços  SEM Deson'!B13</f>
        <v>So74209/001</v>
      </c>
      <c r="C13" s="96" t="s">
        <v>609</v>
      </c>
      <c r="D13" s="97" t="s">
        <v>15</v>
      </c>
      <c r="E13" s="98">
        <v>12</v>
      </c>
      <c r="F13" s="647">
        <v>386.68</v>
      </c>
      <c r="G13" s="98">
        <f>ROUND(E13*F13,2)</f>
        <v>4640.16</v>
      </c>
      <c r="H13" s="100">
        <f>(G13/$G$211)*100</f>
        <v>1.527293438381167</v>
      </c>
      <c r="I13" s="594">
        <v>444.47</v>
      </c>
      <c r="J13" s="744"/>
      <c r="K13" s="744"/>
      <c r="M13" s="102"/>
    </row>
    <row r="14" spans="1:13" s="101" customFormat="1" ht="63">
      <c r="A14" s="94" t="s">
        <v>1261</v>
      </c>
      <c r="B14" s="95" t="s">
        <v>1262</v>
      </c>
      <c r="C14" s="96" t="s">
        <v>1263</v>
      </c>
      <c r="D14" s="97" t="s">
        <v>15</v>
      </c>
      <c r="E14" s="98">
        <v>86.1</v>
      </c>
      <c r="F14" s="99">
        <v>22.11</v>
      </c>
      <c r="G14" s="98">
        <f>ROUND(E14*F14,2)</f>
        <v>1903.67</v>
      </c>
      <c r="H14" s="100">
        <f>(G14/$G$211)*100</f>
        <v>0.6265867340443166</v>
      </c>
      <c r="I14" s="594">
        <v>25.42</v>
      </c>
      <c r="J14" s="744"/>
      <c r="K14" s="744"/>
      <c r="M14" s="102"/>
    </row>
    <row r="15" spans="1:16" s="50" customFormat="1" ht="15.75">
      <c r="A15" s="103"/>
      <c r="B15" s="103"/>
      <c r="C15" s="671" t="s">
        <v>16</v>
      </c>
      <c r="D15" s="671"/>
      <c r="E15" s="671"/>
      <c r="F15" s="104"/>
      <c r="G15" s="105">
        <f>SUM(G13:G14)</f>
        <v>6543.83</v>
      </c>
      <c r="H15" s="106">
        <f>(G15/$G$211)*100</f>
        <v>2.1538801724254832</v>
      </c>
      <c r="I15" s="594"/>
      <c r="J15" s="744"/>
      <c r="K15" s="744"/>
      <c r="L15" s="101"/>
      <c r="M15" s="102"/>
      <c r="N15" s="101"/>
      <c r="O15" s="101"/>
      <c r="P15" s="101"/>
    </row>
    <row r="16" spans="1:13" s="50" customFormat="1" ht="15.75">
      <c r="A16" s="88" t="s">
        <v>612</v>
      </c>
      <c r="B16" s="88"/>
      <c r="C16" s="89" t="s">
        <v>23</v>
      </c>
      <c r="D16" s="90"/>
      <c r="E16" s="91"/>
      <c r="F16" s="107"/>
      <c r="G16" s="98"/>
      <c r="H16" s="100"/>
      <c r="I16" s="594"/>
      <c r="J16" s="744"/>
      <c r="K16" s="744"/>
      <c r="M16" s="102"/>
    </row>
    <row r="17" spans="1:16" s="101" customFormat="1" ht="15.75">
      <c r="A17" s="650" t="s">
        <v>613</v>
      </c>
      <c r="B17" s="651" t="s">
        <v>791</v>
      </c>
      <c r="C17" s="645" t="s">
        <v>245</v>
      </c>
      <c r="D17" s="630" t="s">
        <v>15</v>
      </c>
      <c r="E17" s="648">
        <f>36.06+42.86+24.55</f>
        <v>103.47</v>
      </c>
      <c r="F17" s="647">
        <v>1.8</v>
      </c>
      <c r="G17" s="648">
        <f>ROUND(E17*F17,2)</f>
        <v>186.25</v>
      </c>
      <c r="H17" s="649">
        <f>(G17/$G$211)*100</f>
        <v>0.06130357636342116</v>
      </c>
      <c r="I17" s="594">
        <v>2.08</v>
      </c>
      <c r="J17" s="744"/>
      <c r="K17" s="744"/>
      <c r="L17" s="50"/>
      <c r="M17" s="102"/>
      <c r="N17" s="50"/>
      <c r="O17" s="50"/>
      <c r="P17" s="50"/>
    </row>
    <row r="18" spans="1:13" s="101" customFormat="1" ht="31.5">
      <c r="A18" s="650" t="s">
        <v>614</v>
      </c>
      <c r="B18" s="651" t="s">
        <v>792</v>
      </c>
      <c r="C18" s="645" t="s">
        <v>570</v>
      </c>
      <c r="D18" s="630" t="s">
        <v>19</v>
      </c>
      <c r="E18" s="648">
        <f>2.65+1.22</f>
        <v>3.87</v>
      </c>
      <c r="F18" s="647">
        <v>212.13</v>
      </c>
      <c r="G18" s="648">
        <f>ROUND(E18*F18,2)</f>
        <v>820.94</v>
      </c>
      <c r="H18" s="649">
        <f>(G18/$G$211)*100</f>
        <v>0.270209707274024</v>
      </c>
      <c r="I18" s="594">
        <v>243.83</v>
      </c>
      <c r="J18" s="744"/>
      <c r="K18" s="744"/>
      <c r="M18" s="102"/>
    </row>
    <row r="19" spans="1:13" s="101" customFormat="1" ht="15.75">
      <c r="A19" s="94" t="s">
        <v>615</v>
      </c>
      <c r="B19" s="95" t="s">
        <v>796</v>
      </c>
      <c r="C19" s="96" t="s">
        <v>457</v>
      </c>
      <c r="D19" s="97" t="s">
        <v>19</v>
      </c>
      <c r="E19" s="188">
        <v>0.52</v>
      </c>
      <c r="F19" s="99">
        <v>54.3</v>
      </c>
      <c r="G19" s="98">
        <f>ROUND(E19*F19,2)</f>
        <v>28.24</v>
      </c>
      <c r="H19" s="100">
        <f>(G19/$G$211)*100</f>
        <v>0.009295103336928932</v>
      </c>
      <c r="I19" s="594">
        <v>62.42</v>
      </c>
      <c r="J19" s="744"/>
      <c r="K19" s="744"/>
      <c r="M19" s="102"/>
    </row>
    <row r="20" spans="1:13" s="101" customFormat="1" ht="78.75">
      <c r="A20" s="94" t="s">
        <v>616</v>
      </c>
      <c r="B20" s="95" t="s">
        <v>1266</v>
      </c>
      <c r="C20" s="96" t="s">
        <v>1267</v>
      </c>
      <c r="D20" s="97" t="s">
        <v>21</v>
      </c>
      <c r="E20" s="188">
        <v>1</v>
      </c>
      <c r="F20" s="99">
        <v>254.37</v>
      </c>
      <c r="G20" s="98">
        <f>ROUND(E20*F20,2)</f>
        <v>254.37</v>
      </c>
      <c r="H20" s="100">
        <f>(G20/$G$211)*100</f>
        <v>0.08372505084329364</v>
      </c>
      <c r="I20" s="594">
        <v>292.38</v>
      </c>
      <c r="J20" s="744"/>
      <c r="K20" s="744"/>
      <c r="M20" s="102"/>
    </row>
    <row r="21" spans="1:16" s="50" customFormat="1" ht="15.75">
      <c r="A21" s="103"/>
      <c r="B21" s="103"/>
      <c r="C21" s="671" t="s">
        <v>16</v>
      </c>
      <c r="D21" s="671"/>
      <c r="E21" s="671"/>
      <c r="F21" s="104"/>
      <c r="G21" s="105">
        <f>SUM(G17:G20)</f>
        <v>1289.8000000000002</v>
      </c>
      <c r="H21" s="106">
        <f>(G21/$G$211)*100</f>
        <v>0.4245334378176677</v>
      </c>
      <c r="I21" s="594"/>
      <c r="J21" s="744"/>
      <c r="K21" s="744"/>
      <c r="L21" s="101"/>
      <c r="M21" s="102"/>
      <c r="N21" s="101"/>
      <c r="O21" s="101"/>
      <c r="P21" s="101"/>
    </row>
    <row r="22" spans="1:16" s="50" customFormat="1" ht="15.75">
      <c r="A22" s="88" t="s">
        <v>617</v>
      </c>
      <c r="B22" s="88"/>
      <c r="C22" s="89" t="s">
        <v>17</v>
      </c>
      <c r="D22" s="90"/>
      <c r="E22" s="91"/>
      <c r="F22" s="107"/>
      <c r="G22" s="92"/>
      <c r="H22" s="100"/>
      <c r="I22" s="594"/>
      <c r="J22" s="744"/>
      <c r="K22" s="744"/>
      <c r="L22" s="101"/>
      <c r="M22" s="102"/>
      <c r="N22" s="101"/>
      <c r="O22" s="101"/>
      <c r="P22" s="101"/>
    </row>
    <row r="23" spans="1:13" s="50" customFormat="1" ht="63">
      <c r="A23" s="88" t="s">
        <v>618</v>
      </c>
      <c r="B23" s="114" t="s">
        <v>798</v>
      </c>
      <c r="C23" s="96" t="s">
        <v>307</v>
      </c>
      <c r="D23" s="97" t="s">
        <v>15</v>
      </c>
      <c r="E23" s="110">
        <v>268.5</v>
      </c>
      <c r="F23" s="99">
        <v>22.39</v>
      </c>
      <c r="G23" s="98">
        <f aca="true" t="shared" si="0" ref="G23:G32">ROUND(E23*F23,2)</f>
        <v>6011.72</v>
      </c>
      <c r="H23" s="100">
        <f aca="true" t="shared" si="1" ref="H23:H34">(G23/$G$211)*100</f>
        <v>1.9787379119221813</v>
      </c>
      <c r="I23" s="594">
        <v>25.74</v>
      </c>
      <c r="J23" s="744"/>
      <c r="K23" s="744"/>
      <c r="M23" s="102"/>
    </row>
    <row r="24" spans="1:13" s="50" customFormat="1" ht="31.5">
      <c r="A24" s="88" t="s">
        <v>619</v>
      </c>
      <c r="B24" s="97" t="s">
        <v>799</v>
      </c>
      <c r="C24" s="96" t="s">
        <v>182</v>
      </c>
      <c r="D24" s="97" t="s">
        <v>19</v>
      </c>
      <c r="E24" s="110">
        <v>8</v>
      </c>
      <c r="F24" s="99">
        <v>59.26</v>
      </c>
      <c r="G24" s="98">
        <f t="shared" si="0"/>
        <v>474.08</v>
      </c>
      <c r="H24" s="100">
        <f t="shared" si="1"/>
        <v>0.15604187641541317</v>
      </c>
      <c r="I24" s="594">
        <v>68.12</v>
      </c>
      <c r="J24" s="744"/>
      <c r="K24" s="744"/>
      <c r="M24" s="102"/>
    </row>
    <row r="25" spans="1:13" s="50" customFormat="1" ht="47.25">
      <c r="A25" s="88" t="s">
        <v>620</v>
      </c>
      <c r="B25" s="97" t="s">
        <v>802</v>
      </c>
      <c r="C25" s="96" t="s">
        <v>188</v>
      </c>
      <c r="D25" s="97" t="s">
        <v>19</v>
      </c>
      <c r="E25" s="110">
        <v>0.15</v>
      </c>
      <c r="F25" s="99">
        <v>614.02</v>
      </c>
      <c r="G25" s="98">
        <f t="shared" si="0"/>
        <v>92.1</v>
      </c>
      <c r="H25" s="100">
        <f t="shared" si="1"/>
        <v>0.030314412795012558</v>
      </c>
      <c r="I25" s="594">
        <v>705.78</v>
      </c>
      <c r="J25" s="744"/>
      <c r="K25" s="744"/>
      <c r="M25" s="102"/>
    </row>
    <row r="26" spans="1:13" s="144" customFormat="1" ht="47.25">
      <c r="A26" s="565" t="s">
        <v>621</v>
      </c>
      <c r="B26" s="141" t="s">
        <v>792</v>
      </c>
      <c r="C26" s="140" t="s">
        <v>248</v>
      </c>
      <c r="D26" s="141" t="s">
        <v>19</v>
      </c>
      <c r="E26" s="187">
        <f>1.84</f>
        <v>1.84</v>
      </c>
      <c r="F26" s="99">
        <v>212.13</v>
      </c>
      <c r="G26" s="188">
        <f t="shared" si="0"/>
        <v>390.32</v>
      </c>
      <c r="H26" s="143">
        <f t="shared" si="1"/>
        <v>0.12847254725460697</v>
      </c>
      <c r="I26" s="595">
        <v>243.83</v>
      </c>
      <c r="J26" s="745"/>
      <c r="K26" s="745"/>
      <c r="M26" s="145"/>
    </row>
    <row r="27" spans="1:13" s="50" customFormat="1" ht="31.5">
      <c r="A27" s="565" t="s">
        <v>622</v>
      </c>
      <c r="B27" s="139" t="s">
        <v>806</v>
      </c>
      <c r="C27" s="140" t="s">
        <v>183</v>
      </c>
      <c r="D27" s="141" t="s">
        <v>15</v>
      </c>
      <c r="E27" s="187">
        <v>545.94</v>
      </c>
      <c r="F27" s="99">
        <v>24.19</v>
      </c>
      <c r="G27" s="98">
        <f t="shared" si="0"/>
        <v>13206.29</v>
      </c>
      <c r="H27" s="143">
        <f t="shared" si="1"/>
        <v>4.34680702009388</v>
      </c>
      <c r="I27" s="594">
        <v>27.81</v>
      </c>
      <c r="J27" s="744"/>
      <c r="K27" s="744"/>
      <c r="M27" s="102"/>
    </row>
    <row r="28" spans="1:13" s="50" customFormat="1" ht="31.5">
      <c r="A28" s="88" t="s">
        <v>623</v>
      </c>
      <c r="B28" s="97" t="s">
        <v>246</v>
      </c>
      <c r="C28" s="96" t="s">
        <v>247</v>
      </c>
      <c r="D28" s="97" t="s">
        <v>15</v>
      </c>
      <c r="E28" s="187">
        <v>36.26</v>
      </c>
      <c r="F28" s="99">
        <v>3.47</v>
      </c>
      <c r="G28" s="98">
        <f t="shared" si="0"/>
        <v>125.82</v>
      </c>
      <c r="H28" s="100">
        <f t="shared" si="1"/>
        <v>0.04141324015058068</v>
      </c>
      <c r="I28" s="594">
        <v>3.99</v>
      </c>
      <c r="J28" s="744"/>
      <c r="K28" s="744"/>
      <c r="M28" s="102"/>
    </row>
    <row r="29" spans="1:13" s="50" customFormat="1" ht="31.5">
      <c r="A29" s="88" t="s">
        <v>624</v>
      </c>
      <c r="B29" s="141" t="s">
        <v>807</v>
      </c>
      <c r="C29" s="96" t="s">
        <v>419</v>
      </c>
      <c r="D29" s="97" t="s">
        <v>15</v>
      </c>
      <c r="E29" s="187">
        <v>1.6</v>
      </c>
      <c r="F29" s="99">
        <v>5.25</v>
      </c>
      <c r="G29" s="98">
        <f t="shared" si="0"/>
        <v>8.4</v>
      </c>
      <c r="H29" s="100">
        <f t="shared" si="1"/>
        <v>0.0027648324373301357</v>
      </c>
      <c r="I29" s="594">
        <v>6.04</v>
      </c>
      <c r="J29" s="744"/>
      <c r="K29" s="744"/>
      <c r="M29" s="102"/>
    </row>
    <row r="30" spans="1:13" s="50" customFormat="1" ht="31.5">
      <c r="A30" s="88" t="s">
        <v>625</v>
      </c>
      <c r="B30" s="97" t="s">
        <v>809</v>
      </c>
      <c r="C30" s="96" t="s">
        <v>249</v>
      </c>
      <c r="D30" s="97" t="s">
        <v>15</v>
      </c>
      <c r="E30" s="187">
        <v>2.1</v>
      </c>
      <c r="F30" s="99">
        <v>3.47</v>
      </c>
      <c r="G30" s="98">
        <f t="shared" si="0"/>
        <v>7.29</v>
      </c>
      <c r="H30" s="100">
        <f t="shared" si="1"/>
        <v>0.002399479579540082</v>
      </c>
      <c r="I30" s="594">
        <v>3.99</v>
      </c>
      <c r="J30" s="744"/>
      <c r="K30" s="744"/>
      <c r="M30" s="102"/>
    </row>
    <row r="31" spans="1:13" s="50" customFormat="1" ht="15.75">
      <c r="A31" s="88" t="s">
        <v>626</v>
      </c>
      <c r="B31" s="97" t="s">
        <v>810</v>
      </c>
      <c r="C31" s="96" t="s">
        <v>595</v>
      </c>
      <c r="D31" s="111" t="s">
        <v>15</v>
      </c>
      <c r="E31" s="187">
        <v>10.97</v>
      </c>
      <c r="F31" s="99">
        <v>15.53</v>
      </c>
      <c r="G31" s="98">
        <f t="shared" si="0"/>
        <v>170.36</v>
      </c>
      <c r="H31" s="100">
        <f t="shared" si="1"/>
        <v>0.056073435002805</v>
      </c>
      <c r="I31" s="594">
        <v>17.86</v>
      </c>
      <c r="J31" s="744"/>
      <c r="K31" s="744"/>
      <c r="M31" s="102"/>
    </row>
    <row r="32" spans="1:13" s="50" customFormat="1" ht="78.75">
      <c r="A32" s="88" t="s">
        <v>627</v>
      </c>
      <c r="B32" s="97" t="s">
        <v>1266</v>
      </c>
      <c r="C32" s="96" t="s">
        <v>1267</v>
      </c>
      <c r="D32" s="97" t="s">
        <v>21</v>
      </c>
      <c r="E32" s="187">
        <v>10</v>
      </c>
      <c r="F32" s="99">
        <v>254.37</v>
      </c>
      <c r="G32" s="98">
        <f t="shared" si="0"/>
        <v>2543.7</v>
      </c>
      <c r="H32" s="100">
        <f t="shared" si="1"/>
        <v>0.8372505084329364</v>
      </c>
      <c r="I32" s="594">
        <v>292.38</v>
      </c>
      <c r="J32" s="744"/>
      <c r="K32" s="744"/>
      <c r="M32" s="102"/>
    </row>
    <row r="33" spans="1:13" s="50" customFormat="1" ht="31.5">
      <c r="A33" s="644" t="s">
        <v>1273</v>
      </c>
      <c r="B33" s="630" t="s">
        <v>1274</v>
      </c>
      <c r="C33" s="645" t="s">
        <v>1275</v>
      </c>
      <c r="D33" s="630" t="s">
        <v>15</v>
      </c>
      <c r="E33" s="646">
        <v>42.86</v>
      </c>
      <c r="F33" s="647">
        <v>17.03</v>
      </c>
      <c r="G33" s="648">
        <f>ROUND(E33*F33,2)</f>
        <v>729.91</v>
      </c>
      <c r="H33" s="649">
        <f>(G33/$G$211)*100</f>
        <v>0.24024748146805225</v>
      </c>
      <c r="I33" s="594">
        <v>19.58</v>
      </c>
      <c r="J33" s="744"/>
      <c r="K33" s="744"/>
      <c r="M33" s="102"/>
    </row>
    <row r="34" spans="1:13" s="50" customFormat="1" ht="15.75">
      <c r="A34" s="103"/>
      <c r="B34" s="103"/>
      <c r="C34" s="671" t="s">
        <v>16</v>
      </c>
      <c r="D34" s="671"/>
      <c r="E34" s="671"/>
      <c r="F34" s="104"/>
      <c r="G34" s="105">
        <f>SUM(G23:G33)</f>
        <v>23759.990000000005</v>
      </c>
      <c r="H34" s="106">
        <f t="shared" si="1"/>
        <v>7.820522745552341</v>
      </c>
      <c r="I34" s="594"/>
      <c r="J34" s="744"/>
      <c r="K34" s="744"/>
      <c r="M34" s="102"/>
    </row>
    <row r="35" spans="1:13" s="50" customFormat="1" ht="15.75">
      <c r="A35" s="88" t="s">
        <v>628</v>
      </c>
      <c r="B35" s="88"/>
      <c r="C35" s="89" t="s">
        <v>20</v>
      </c>
      <c r="D35" s="90"/>
      <c r="E35" s="91"/>
      <c r="F35" s="107"/>
      <c r="G35" s="92"/>
      <c r="H35" s="100"/>
      <c r="I35" s="594"/>
      <c r="J35" s="744"/>
      <c r="K35" s="744"/>
      <c r="M35" s="102"/>
    </row>
    <row r="36" spans="1:13" s="50" customFormat="1" ht="31.5">
      <c r="A36" s="88" t="s">
        <v>629</v>
      </c>
      <c r="B36" s="141" t="s">
        <v>811</v>
      </c>
      <c r="C36" s="140" t="s">
        <v>251</v>
      </c>
      <c r="D36" s="97" t="s">
        <v>21</v>
      </c>
      <c r="E36" s="112">
        <v>24</v>
      </c>
      <c r="F36" s="99">
        <v>12.73</v>
      </c>
      <c r="G36" s="98">
        <f aca="true" t="shared" si="2" ref="G36:G42">ROUND(E36*F36,2)</f>
        <v>305.52</v>
      </c>
      <c r="H36" s="100">
        <f aca="true" t="shared" si="3" ref="H36:H43">(G36/$G$211)*100</f>
        <v>0.10056090550632178</v>
      </c>
      <c r="I36" s="594">
        <v>14.64</v>
      </c>
      <c r="J36" s="744"/>
      <c r="K36" s="744"/>
      <c r="M36" s="102"/>
    </row>
    <row r="37" spans="1:13" s="50" customFormat="1" ht="31.5">
      <c r="A37" s="88" t="s">
        <v>630</v>
      </c>
      <c r="B37" s="141" t="s">
        <v>812</v>
      </c>
      <c r="C37" s="140" t="s">
        <v>250</v>
      </c>
      <c r="D37" s="97" t="s">
        <v>21</v>
      </c>
      <c r="E37" s="112">
        <v>37</v>
      </c>
      <c r="F37" s="99">
        <v>9.28</v>
      </c>
      <c r="G37" s="98">
        <f t="shared" si="2"/>
        <v>343.36</v>
      </c>
      <c r="H37" s="100">
        <f t="shared" si="3"/>
        <v>0.1130158173430566</v>
      </c>
      <c r="I37" s="594">
        <v>10.67</v>
      </c>
      <c r="J37" s="744"/>
      <c r="K37" s="744"/>
      <c r="M37" s="102"/>
    </row>
    <row r="38" spans="1:13" s="50" customFormat="1" ht="47.25">
      <c r="A38" s="88" t="s">
        <v>631</v>
      </c>
      <c r="B38" s="141" t="s">
        <v>813</v>
      </c>
      <c r="C38" s="140" t="s">
        <v>22</v>
      </c>
      <c r="D38" s="97" t="s">
        <v>18</v>
      </c>
      <c r="E38" s="112">
        <v>5.8</v>
      </c>
      <c r="F38" s="99">
        <v>36.97</v>
      </c>
      <c r="G38" s="98">
        <f t="shared" si="2"/>
        <v>214.43</v>
      </c>
      <c r="H38" s="100">
        <f t="shared" si="3"/>
        <v>0.0705789308972263</v>
      </c>
      <c r="I38" s="594">
        <v>42.5</v>
      </c>
      <c r="J38" s="744"/>
      <c r="K38" s="744"/>
      <c r="M38" s="102"/>
    </row>
    <row r="39" spans="1:13" s="50" customFormat="1" ht="31.5">
      <c r="A39" s="88" t="s">
        <v>632</v>
      </c>
      <c r="B39" s="141" t="s">
        <v>184</v>
      </c>
      <c r="C39" s="140" t="s">
        <v>185</v>
      </c>
      <c r="D39" s="97" t="s">
        <v>15</v>
      </c>
      <c r="E39" s="112">
        <v>36.69</v>
      </c>
      <c r="F39" s="99">
        <v>9.7</v>
      </c>
      <c r="G39" s="98">
        <f t="shared" si="2"/>
        <v>355.89</v>
      </c>
      <c r="H39" s="100">
        <f t="shared" si="3"/>
        <v>0.1171400257287407</v>
      </c>
      <c r="I39" s="594">
        <v>11.16</v>
      </c>
      <c r="J39" s="744"/>
      <c r="K39" s="744"/>
      <c r="M39" s="102"/>
    </row>
    <row r="40" spans="1:13" s="50" customFormat="1" ht="47.25">
      <c r="A40" s="88" t="s">
        <v>633</v>
      </c>
      <c r="B40" s="139" t="s">
        <v>814</v>
      </c>
      <c r="C40" s="140" t="s">
        <v>308</v>
      </c>
      <c r="D40" s="97" t="s">
        <v>15</v>
      </c>
      <c r="E40" s="112">
        <v>120.76</v>
      </c>
      <c r="F40" s="99">
        <v>13.47</v>
      </c>
      <c r="G40" s="98">
        <f t="shared" si="2"/>
        <v>1626.64</v>
      </c>
      <c r="H40" s="100">
        <f t="shared" si="3"/>
        <v>0.5354032185546062</v>
      </c>
      <c r="I40" s="594">
        <v>15.49</v>
      </c>
      <c r="J40" s="744"/>
      <c r="K40" s="744"/>
      <c r="M40" s="102"/>
    </row>
    <row r="41" spans="1:13" s="50" customFormat="1" ht="31.5">
      <c r="A41" s="88" t="s">
        <v>634</v>
      </c>
      <c r="B41" s="139" t="s">
        <v>817</v>
      </c>
      <c r="C41" s="96" t="s">
        <v>446</v>
      </c>
      <c r="D41" s="111" t="s">
        <v>21</v>
      </c>
      <c r="E41" s="112">
        <v>46</v>
      </c>
      <c r="F41" s="99">
        <v>1.33</v>
      </c>
      <c r="G41" s="98">
        <f t="shared" si="2"/>
        <v>61.18</v>
      </c>
      <c r="H41" s="100">
        <f t="shared" si="3"/>
        <v>0.02013719625188782</v>
      </c>
      <c r="I41" s="594">
        <v>1.53</v>
      </c>
      <c r="J41" s="744"/>
      <c r="K41" s="744"/>
      <c r="M41" s="102"/>
    </row>
    <row r="42" spans="1:13" s="50" customFormat="1" ht="78.75">
      <c r="A42" s="88" t="s">
        <v>635</v>
      </c>
      <c r="B42" s="141" t="s">
        <v>1266</v>
      </c>
      <c r="C42" s="96" t="s">
        <v>1267</v>
      </c>
      <c r="D42" s="97" t="s">
        <v>21</v>
      </c>
      <c r="E42" s="112">
        <v>3</v>
      </c>
      <c r="F42" s="99">
        <v>254.37</v>
      </c>
      <c r="G42" s="98">
        <f t="shared" si="2"/>
        <v>763.11</v>
      </c>
      <c r="H42" s="100">
        <f t="shared" si="3"/>
        <v>0.25117515252988093</v>
      </c>
      <c r="I42" s="594">
        <v>292.38</v>
      </c>
      <c r="J42" s="744"/>
      <c r="K42" s="744"/>
      <c r="M42" s="102"/>
    </row>
    <row r="43" spans="1:13" s="50" customFormat="1" ht="15.75">
      <c r="A43" s="103"/>
      <c r="B43" s="103"/>
      <c r="C43" s="671" t="s">
        <v>16</v>
      </c>
      <c r="D43" s="671"/>
      <c r="E43" s="671"/>
      <c r="F43" s="104"/>
      <c r="G43" s="105">
        <f>SUM(G36:G42)</f>
        <v>3670.13</v>
      </c>
      <c r="H43" s="106">
        <f t="shared" si="3"/>
        <v>1.2080112468117203</v>
      </c>
      <c r="I43" s="594"/>
      <c r="J43" s="744"/>
      <c r="K43" s="744"/>
      <c r="M43" s="102"/>
    </row>
    <row r="44" spans="1:13" s="50" customFormat="1" ht="15.75">
      <c r="A44" s="115" t="s">
        <v>636</v>
      </c>
      <c r="B44" s="116"/>
      <c r="C44" s="89" t="s">
        <v>360</v>
      </c>
      <c r="D44" s="117"/>
      <c r="E44" s="117"/>
      <c r="F44" s="108"/>
      <c r="G44" s="98"/>
      <c r="H44" s="100"/>
      <c r="I44" s="594"/>
      <c r="J44" s="744"/>
      <c r="K44" s="744"/>
      <c r="M44" s="102"/>
    </row>
    <row r="45" spans="1:13" s="50" customFormat="1" ht="47.25">
      <c r="A45" s="115" t="s">
        <v>637</v>
      </c>
      <c r="B45" s="120" t="s">
        <v>820</v>
      </c>
      <c r="C45" s="119" t="s">
        <v>361</v>
      </c>
      <c r="D45" s="120" t="s">
        <v>19</v>
      </c>
      <c r="E45" s="121">
        <v>0.23</v>
      </c>
      <c r="F45" s="99">
        <v>420.3</v>
      </c>
      <c r="G45" s="98">
        <f aca="true" t="shared" si="4" ref="G45:G55">ROUND(E45*F45,2)</f>
        <v>96.67</v>
      </c>
      <c r="H45" s="100">
        <f aca="true" t="shared" si="5" ref="H45:H56">(G45/$G$211)*100</f>
        <v>0.03181861329960764</v>
      </c>
      <c r="I45" s="594">
        <v>483.11</v>
      </c>
      <c r="J45" s="744"/>
      <c r="K45" s="744"/>
      <c r="M45" s="102"/>
    </row>
    <row r="46" spans="1:13" s="50" customFormat="1" ht="47.25">
      <c r="A46" s="115" t="s">
        <v>638</v>
      </c>
      <c r="B46" s="120" t="s">
        <v>826</v>
      </c>
      <c r="C46" s="119" t="s">
        <v>363</v>
      </c>
      <c r="D46" s="120" t="s">
        <v>15</v>
      </c>
      <c r="E46" s="121">
        <v>2.42</v>
      </c>
      <c r="F46" s="99">
        <v>72.44</v>
      </c>
      <c r="G46" s="98">
        <f t="shared" si="4"/>
        <v>175.3</v>
      </c>
      <c r="H46" s="100">
        <f t="shared" si="5"/>
        <v>0.0576994197933301</v>
      </c>
      <c r="I46" s="594">
        <v>83.27</v>
      </c>
      <c r="J46" s="744"/>
      <c r="K46" s="744"/>
      <c r="M46" s="102"/>
    </row>
    <row r="47" spans="1:13" s="50" customFormat="1" ht="94.5">
      <c r="A47" s="115" t="s">
        <v>639</v>
      </c>
      <c r="B47" s="120" t="s">
        <v>837</v>
      </c>
      <c r="C47" s="119" t="s">
        <v>445</v>
      </c>
      <c r="D47" s="120" t="s">
        <v>15</v>
      </c>
      <c r="E47" s="121">
        <v>2.42</v>
      </c>
      <c r="F47" s="99">
        <v>240.3</v>
      </c>
      <c r="G47" s="98">
        <f t="shared" si="4"/>
        <v>581.53</v>
      </c>
      <c r="H47" s="100">
        <f t="shared" si="5"/>
        <v>0.19140869134292782</v>
      </c>
      <c r="I47" s="594">
        <v>276.21</v>
      </c>
      <c r="J47" s="744"/>
      <c r="K47" s="744"/>
      <c r="M47" s="102"/>
    </row>
    <row r="48" spans="1:13" s="50" customFormat="1" ht="78.75">
      <c r="A48" s="115" t="s">
        <v>640</v>
      </c>
      <c r="B48" s="120" t="s">
        <v>841</v>
      </c>
      <c r="C48" s="119" t="s">
        <v>462</v>
      </c>
      <c r="D48" s="120" t="s">
        <v>19</v>
      </c>
      <c r="E48" s="121">
        <v>0.17</v>
      </c>
      <c r="F48" s="99">
        <v>2047.26</v>
      </c>
      <c r="G48" s="98">
        <f t="shared" si="4"/>
        <v>348.03</v>
      </c>
      <c r="H48" s="100">
        <f t="shared" si="5"/>
        <v>0.11455293251952463</v>
      </c>
      <c r="I48" s="594">
        <v>2353.18</v>
      </c>
      <c r="J48" s="744"/>
      <c r="K48" s="744"/>
      <c r="M48" s="102"/>
    </row>
    <row r="49" spans="1:13" s="50" customFormat="1" ht="63">
      <c r="A49" s="115" t="s">
        <v>641</v>
      </c>
      <c r="B49" s="141" t="s">
        <v>850</v>
      </c>
      <c r="C49" s="96" t="s">
        <v>62</v>
      </c>
      <c r="D49" s="97" t="s">
        <v>15</v>
      </c>
      <c r="E49" s="121">
        <v>1.4</v>
      </c>
      <c r="F49" s="99">
        <v>50.58</v>
      </c>
      <c r="G49" s="98">
        <f t="shared" si="4"/>
        <v>70.81</v>
      </c>
      <c r="H49" s="100">
        <f t="shared" si="5"/>
        <v>0.023306879153255584</v>
      </c>
      <c r="I49" s="594">
        <v>58.14</v>
      </c>
      <c r="J49" s="744"/>
      <c r="K49" s="744"/>
      <c r="M49" s="102"/>
    </row>
    <row r="50" spans="1:13" s="50" customFormat="1" ht="47.25">
      <c r="A50" s="115" t="s">
        <v>642</v>
      </c>
      <c r="B50" s="141" t="s">
        <v>853</v>
      </c>
      <c r="C50" s="119" t="s">
        <v>206</v>
      </c>
      <c r="D50" s="97" t="s">
        <v>15</v>
      </c>
      <c r="E50" s="110">
        <v>10.99</v>
      </c>
      <c r="F50" s="99">
        <v>3.68</v>
      </c>
      <c r="G50" s="98">
        <f t="shared" si="4"/>
        <v>40.44</v>
      </c>
      <c r="H50" s="100">
        <f t="shared" si="5"/>
        <v>0.013310693305432223</v>
      </c>
      <c r="I50" s="594">
        <v>4.24</v>
      </c>
      <c r="J50" s="744"/>
      <c r="K50" s="744"/>
      <c r="M50" s="102"/>
    </row>
    <row r="51" spans="1:13" s="50" customFormat="1" ht="63">
      <c r="A51" s="115" t="s">
        <v>643</v>
      </c>
      <c r="B51" s="139" t="s">
        <v>860</v>
      </c>
      <c r="C51" s="119" t="s">
        <v>311</v>
      </c>
      <c r="D51" s="97" t="s">
        <v>15</v>
      </c>
      <c r="E51" s="121">
        <v>10.99</v>
      </c>
      <c r="F51" s="99">
        <v>33.52</v>
      </c>
      <c r="G51" s="98">
        <f t="shared" si="4"/>
        <v>368.38</v>
      </c>
      <c r="H51" s="100">
        <f t="shared" si="5"/>
        <v>0.12125106824567565</v>
      </c>
      <c r="I51" s="594">
        <v>38.54</v>
      </c>
      <c r="J51" s="744"/>
      <c r="K51" s="744"/>
      <c r="M51" s="102"/>
    </row>
    <row r="52" spans="1:13" s="50" customFormat="1" ht="31.5">
      <c r="A52" s="115" t="s">
        <v>644</v>
      </c>
      <c r="B52" s="435" t="s">
        <v>861</v>
      </c>
      <c r="C52" s="122" t="s">
        <v>198</v>
      </c>
      <c r="D52" s="97" t="s">
        <v>15</v>
      </c>
      <c r="E52" s="121">
        <v>1.71</v>
      </c>
      <c r="F52" s="99">
        <v>441.09</v>
      </c>
      <c r="G52" s="98">
        <f t="shared" si="4"/>
        <v>754.26</v>
      </c>
      <c r="H52" s="100">
        <f t="shared" si="5"/>
        <v>0.24826220406912236</v>
      </c>
      <c r="I52" s="594">
        <v>507.01</v>
      </c>
      <c r="J52" s="744"/>
      <c r="K52" s="744"/>
      <c r="M52" s="102"/>
    </row>
    <row r="53" spans="1:13" s="50" customFormat="1" ht="31.5">
      <c r="A53" s="115" t="s">
        <v>645</v>
      </c>
      <c r="B53" s="97" t="s">
        <v>866</v>
      </c>
      <c r="C53" s="122" t="s">
        <v>272</v>
      </c>
      <c r="D53" s="97" t="s">
        <v>21</v>
      </c>
      <c r="E53" s="121">
        <v>1</v>
      </c>
      <c r="F53" s="99">
        <v>171.02</v>
      </c>
      <c r="G53" s="98">
        <f t="shared" si="4"/>
        <v>171.02</v>
      </c>
      <c r="H53" s="100">
        <f t="shared" si="5"/>
        <v>0.05629067183716665</v>
      </c>
      <c r="I53" s="594">
        <v>196.58</v>
      </c>
      <c r="J53" s="744"/>
      <c r="K53" s="744"/>
      <c r="M53" s="102"/>
    </row>
    <row r="54" spans="1:13" s="50" customFormat="1" ht="31.5">
      <c r="A54" s="115" t="s">
        <v>646</v>
      </c>
      <c r="B54" s="97" t="s">
        <v>870</v>
      </c>
      <c r="C54" s="96" t="s">
        <v>343</v>
      </c>
      <c r="D54" s="97" t="s">
        <v>15</v>
      </c>
      <c r="E54" s="121">
        <v>13.52</v>
      </c>
      <c r="F54" s="99">
        <v>2.68</v>
      </c>
      <c r="G54" s="98">
        <f t="shared" si="4"/>
        <v>36.23</v>
      </c>
      <c r="H54" s="100">
        <f t="shared" si="5"/>
        <v>0.011924985619579857</v>
      </c>
      <c r="I54" s="594">
        <v>3.09</v>
      </c>
      <c r="J54" s="744"/>
      <c r="K54" s="744"/>
      <c r="M54" s="102"/>
    </row>
    <row r="55" spans="1:13" s="50" customFormat="1" ht="31.5">
      <c r="A55" s="115" t="s">
        <v>647</v>
      </c>
      <c r="B55" s="97" t="s">
        <v>872</v>
      </c>
      <c r="C55" s="122" t="s">
        <v>40</v>
      </c>
      <c r="D55" s="97" t="s">
        <v>15</v>
      </c>
      <c r="E55" s="121">
        <v>13.52</v>
      </c>
      <c r="F55" s="99">
        <v>15.98</v>
      </c>
      <c r="G55" s="98">
        <f t="shared" si="4"/>
        <v>216.05</v>
      </c>
      <c r="H55" s="100">
        <f t="shared" si="5"/>
        <v>0.07111214858156856</v>
      </c>
      <c r="I55" s="594">
        <v>18.37</v>
      </c>
      <c r="J55" s="744"/>
      <c r="K55" s="744"/>
      <c r="M55" s="102"/>
    </row>
    <row r="56" spans="1:13" s="50" customFormat="1" ht="15.75">
      <c r="A56" s="103"/>
      <c r="B56" s="103"/>
      <c r="C56" s="671" t="s">
        <v>16</v>
      </c>
      <c r="D56" s="671"/>
      <c r="E56" s="671"/>
      <c r="F56" s="104"/>
      <c r="G56" s="105">
        <f>SUM(G45:G55)</f>
        <v>2858.7200000000003</v>
      </c>
      <c r="H56" s="106">
        <f t="shared" si="5"/>
        <v>0.9409383077671911</v>
      </c>
      <c r="I56" s="594"/>
      <c r="J56" s="744"/>
      <c r="K56" s="744"/>
      <c r="M56" s="102"/>
    </row>
    <row r="57" spans="1:13" s="50" customFormat="1" ht="15.75">
      <c r="A57" s="88" t="s">
        <v>648</v>
      </c>
      <c r="B57" s="88"/>
      <c r="C57" s="89" t="s">
        <v>25</v>
      </c>
      <c r="D57" s="90"/>
      <c r="E57" s="91"/>
      <c r="F57" s="107"/>
      <c r="G57" s="92"/>
      <c r="H57" s="100"/>
      <c r="I57" s="594"/>
      <c r="J57" s="744"/>
      <c r="K57" s="744"/>
      <c r="M57" s="102"/>
    </row>
    <row r="58" spans="1:13" s="50" customFormat="1" ht="63">
      <c r="A58" s="88" t="s">
        <v>649</v>
      </c>
      <c r="B58" s="141" t="s">
        <v>850</v>
      </c>
      <c r="C58" s="96" t="s">
        <v>62</v>
      </c>
      <c r="D58" s="97" t="s">
        <v>15</v>
      </c>
      <c r="E58" s="112">
        <v>38.55</v>
      </c>
      <c r="F58" s="99">
        <v>50.58</v>
      </c>
      <c r="G58" s="98">
        <f>ROUND(E58*F58,2)</f>
        <v>1949.86</v>
      </c>
      <c r="H58" s="100">
        <f>(G58/$G$211)*100</f>
        <v>0.641790020982445</v>
      </c>
      <c r="I58" s="594">
        <v>58.14</v>
      </c>
      <c r="J58" s="744"/>
      <c r="K58" s="744"/>
      <c r="M58" s="102"/>
    </row>
    <row r="59" spans="1:13" s="50" customFormat="1" ht="31.5">
      <c r="A59" s="88" t="s">
        <v>650</v>
      </c>
      <c r="B59" s="438" t="s">
        <v>874</v>
      </c>
      <c r="C59" s="96" t="s">
        <v>189</v>
      </c>
      <c r="D59" s="97" t="s">
        <v>18</v>
      </c>
      <c r="E59" s="112">
        <f>0.85+12.6+1.1</f>
        <v>14.549999999999999</v>
      </c>
      <c r="F59" s="99">
        <v>50.56</v>
      </c>
      <c r="G59" s="98">
        <f>ROUND(E59*F59,2)</f>
        <v>735.65</v>
      </c>
      <c r="H59" s="100">
        <f>(G59/$G$211)*100</f>
        <v>0.2421367836335612</v>
      </c>
      <c r="I59" s="594">
        <v>58.12</v>
      </c>
      <c r="J59" s="744"/>
      <c r="K59" s="744"/>
      <c r="M59" s="102"/>
    </row>
    <row r="60" spans="1:13" s="50" customFormat="1" ht="15.75">
      <c r="A60" s="103"/>
      <c r="B60" s="103"/>
      <c r="C60" s="671" t="s">
        <v>16</v>
      </c>
      <c r="D60" s="671"/>
      <c r="E60" s="671"/>
      <c r="F60" s="104"/>
      <c r="G60" s="105">
        <f>SUM(G58:G59)</f>
        <v>2685.5099999999998</v>
      </c>
      <c r="H60" s="106">
        <f>(G60/$G$211)*100</f>
        <v>0.8839268046160061</v>
      </c>
      <c r="I60" s="594"/>
      <c r="J60" s="744"/>
      <c r="K60" s="744"/>
      <c r="M60" s="102"/>
    </row>
    <row r="61" spans="1:13" s="50" customFormat="1" ht="15.75">
      <c r="A61" s="123" t="s">
        <v>651</v>
      </c>
      <c r="B61" s="123"/>
      <c r="C61" s="124" t="s">
        <v>67</v>
      </c>
      <c r="D61" s="125"/>
      <c r="E61" s="126"/>
      <c r="F61" s="127"/>
      <c r="G61" s="128"/>
      <c r="H61" s="100"/>
      <c r="I61" s="594"/>
      <c r="J61" s="744"/>
      <c r="K61" s="744"/>
      <c r="M61" s="102"/>
    </row>
    <row r="62" spans="1:13" s="50" customFormat="1" ht="63">
      <c r="A62" s="88" t="s">
        <v>652</v>
      </c>
      <c r="B62" s="109" t="s">
        <v>879</v>
      </c>
      <c r="C62" s="119" t="s">
        <v>574</v>
      </c>
      <c r="D62" s="97" t="s">
        <v>15</v>
      </c>
      <c r="E62" s="129">
        <v>122.51</v>
      </c>
      <c r="F62" s="99">
        <v>32.95</v>
      </c>
      <c r="G62" s="98">
        <f aca="true" t="shared" si="6" ref="G62:G70">ROUND(E62*F62,2)</f>
        <v>4036.7</v>
      </c>
      <c r="H62" s="100">
        <f aca="true" t="shared" si="7" ref="H62:H71">(G62/$G$211)*100</f>
        <v>1.328666559496495</v>
      </c>
      <c r="I62" s="594">
        <v>37.88</v>
      </c>
      <c r="J62" s="744"/>
      <c r="K62" s="744"/>
      <c r="M62" s="102"/>
    </row>
    <row r="63" spans="1:13" s="144" customFormat="1" ht="63">
      <c r="A63" s="565" t="s">
        <v>653</v>
      </c>
      <c r="B63" s="139" t="s">
        <v>885</v>
      </c>
      <c r="C63" s="566" t="s">
        <v>575</v>
      </c>
      <c r="D63" s="141" t="s">
        <v>15</v>
      </c>
      <c r="E63" s="129">
        <v>122.51</v>
      </c>
      <c r="F63" s="99">
        <v>27.21</v>
      </c>
      <c r="G63" s="98">
        <f t="shared" si="6"/>
        <v>3333.5</v>
      </c>
      <c r="H63" s="100">
        <f>(G63/$G$211)*100</f>
        <v>1.0972105868857152</v>
      </c>
      <c r="I63" s="594">
        <v>31.28</v>
      </c>
      <c r="J63" s="745"/>
      <c r="K63" s="745"/>
      <c r="M63" s="145"/>
    </row>
    <row r="64" spans="1:13" s="50" customFormat="1" ht="78.75">
      <c r="A64" s="88" t="s">
        <v>654</v>
      </c>
      <c r="B64" s="95" t="s">
        <v>887</v>
      </c>
      <c r="C64" s="119" t="s">
        <v>236</v>
      </c>
      <c r="D64" s="97" t="s">
        <v>15</v>
      </c>
      <c r="E64" s="112">
        <v>149.64</v>
      </c>
      <c r="F64" s="99">
        <v>85.59</v>
      </c>
      <c r="G64" s="98">
        <f t="shared" si="6"/>
        <v>12807.69</v>
      </c>
      <c r="H64" s="100">
        <f t="shared" si="7"/>
        <v>4.215609138008191</v>
      </c>
      <c r="I64" s="594">
        <v>98.38</v>
      </c>
      <c r="J64" s="744"/>
      <c r="K64" s="744"/>
      <c r="M64" s="102"/>
    </row>
    <row r="65" spans="1:13" s="50" customFormat="1" ht="47.25">
      <c r="A65" s="88" t="s">
        <v>655</v>
      </c>
      <c r="B65" s="288" t="s">
        <v>1088</v>
      </c>
      <c r="C65" s="119" t="s">
        <v>393</v>
      </c>
      <c r="D65" s="97" t="s">
        <v>18</v>
      </c>
      <c r="E65" s="129">
        <v>29.17</v>
      </c>
      <c r="F65" s="99">
        <v>79.09</v>
      </c>
      <c r="G65" s="98">
        <f t="shared" si="6"/>
        <v>2307.06</v>
      </c>
      <c r="H65" s="100">
        <f t="shared" si="7"/>
        <v>0.7593612289127217</v>
      </c>
      <c r="I65" s="594">
        <v>90.91</v>
      </c>
      <c r="J65" s="744"/>
      <c r="K65" s="744"/>
      <c r="M65" s="102"/>
    </row>
    <row r="66" spans="1:13" s="50" customFormat="1" ht="47.25">
      <c r="A66" s="88" t="s">
        <v>656</v>
      </c>
      <c r="B66" s="288" t="s">
        <v>1090</v>
      </c>
      <c r="C66" s="119" t="s">
        <v>394</v>
      </c>
      <c r="D66" s="97" t="s">
        <v>18</v>
      </c>
      <c r="E66" s="129">
        <v>29.17</v>
      </c>
      <c r="F66" s="99">
        <v>43.03</v>
      </c>
      <c r="G66" s="98">
        <f t="shared" si="6"/>
        <v>1255.19</v>
      </c>
      <c r="H66" s="100">
        <f t="shared" si="7"/>
        <v>0.4131416698824301</v>
      </c>
      <c r="I66" s="594">
        <v>49.47</v>
      </c>
      <c r="J66" s="744"/>
      <c r="K66" s="744"/>
      <c r="M66" s="102"/>
    </row>
    <row r="67" spans="1:13" s="50" customFormat="1" ht="31.5">
      <c r="A67" s="88" t="s">
        <v>657</v>
      </c>
      <c r="B67" s="288" t="s">
        <v>1091</v>
      </c>
      <c r="C67" s="119" t="s">
        <v>604</v>
      </c>
      <c r="D67" s="97" t="s">
        <v>18</v>
      </c>
      <c r="E67" s="112">
        <v>29.17</v>
      </c>
      <c r="F67" s="99">
        <v>78.33</v>
      </c>
      <c r="G67" s="98">
        <f t="shared" si="6"/>
        <v>2284.89</v>
      </c>
      <c r="H67" s="100">
        <f t="shared" si="7"/>
        <v>0.7520640461584825</v>
      </c>
      <c r="I67" s="594">
        <v>90.04</v>
      </c>
      <c r="J67" s="744"/>
      <c r="K67" s="744"/>
      <c r="M67" s="102"/>
    </row>
    <row r="68" spans="1:13" s="50" customFormat="1" ht="31.5">
      <c r="A68" s="88" t="s">
        <v>658</v>
      </c>
      <c r="B68" s="288" t="s">
        <v>1093</v>
      </c>
      <c r="C68" s="119" t="s">
        <v>605</v>
      </c>
      <c r="D68" s="97" t="s">
        <v>18</v>
      </c>
      <c r="E68" s="112">
        <v>8.6</v>
      </c>
      <c r="F68" s="99">
        <v>51.7</v>
      </c>
      <c r="G68" s="98">
        <f t="shared" si="6"/>
        <v>444.62</v>
      </c>
      <c r="H68" s="100">
        <f t="shared" si="7"/>
        <v>0.14634521408163392</v>
      </c>
      <c r="I68" s="594">
        <v>59.43</v>
      </c>
      <c r="J68" s="744"/>
      <c r="K68" s="744"/>
      <c r="M68" s="102"/>
    </row>
    <row r="69" spans="1:13" s="50" customFormat="1" ht="47.25">
      <c r="A69" s="88" t="s">
        <v>659</v>
      </c>
      <c r="B69" s="95" t="s">
        <v>888</v>
      </c>
      <c r="C69" s="119" t="s">
        <v>90</v>
      </c>
      <c r="D69" s="97" t="s">
        <v>18</v>
      </c>
      <c r="E69" s="112">
        <v>29.17</v>
      </c>
      <c r="F69" s="99">
        <v>54.87</v>
      </c>
      <c r="G69" s="98">
        <f t="shared" si="6"/>
        <v>1600.56</v>
      </c>
      <c r="H69" s="100">
        <f t="shared" si="7"/>
        <v>0.5268190721301336</v>
      </c>
      <c r="I69" s="595">
        <v>63.08</v>
      </c>
      <c r="J69" s="744"/>
      <c r="K69" s="744"/>
      <c r="M69" s="102"/>
    </row>
    <row r="70" spans="1:16" s="50" customFormat="1" ht="47.25">
      <c r="A70" s="88" t="s">
        <v>1036</v>
      </c>
      <c r="B70" s="95" t="s">
        <v>889</v>
      </c>
      <c r="C70" s="119" t="s">
        <v>103</v>
      </c>
      <c r="D70" s="97" t="s">
        <v>18</v>
      </c>
      <c r="E70" s="112">
        <v>10.5</v>
      </c>
      <c r="F70" s="99">
        <v>31.64</v>
      </c>
      <c r="G70" s="98">
        <f t="shared" si="6"/>
        <v>332.22</v>
      </c>
      <c r="H70" s="100">
        <f t="shared" si="7"/>
        <v>0.10934912289640687</v>
      </c>
      <c r="I70" s="594">
        <v>36.37</v>
      </c>
      <c r="J70" s="746"/>
      <c r="K70" s="746"/>
      <c r="L70" s="384"/>
      <c r="M70" s="414"/>
      <c r="N70" s="384"/>
      <c r="O70" s="384"/>
      <c r="P70" s="384"/>
    </row>
    <row r="71" spans="1:16" s="50" customFormat="1" ht="15.75">
      <c r="A71" s="103"/>
      <c r="B71" s="103"/>
      <c r="C71" s="671" t="s">
        <v>16</v>
      </c>
      <c r="D71" s="671"/>
      <c r="E71" s="671"/>
      <c r="F71" s="104"/>
      <c r="G71" s="105">
        <f>SUM(G62:G70)</f>
        <v>28402.43</v>
      </c>
      <c r="H71" s="106">
        <f t="shared" si="7"/>
        <v>9.34856663845221</v>
      </c>
      <c r="I71" s="594"/>
      <c r="J71" s="746"/>
      <c r="K71" s="746"/>
      <c r="L71" s="384"/>
      <c r="M71" s="414"/>
      <c r="N71" s="384"/>
      <c r="O71" s="384"/>
      <c r="P71" s="384"/>
    </row>
    <row r="72" spans="1:13" s="50" customFormat="1" ht="15.75">
      <c r="A72" s="88" t="s">
        <v>661</v>
      </c>
      <c r="B72" s="88"/>
      <c r="C72" s="89" t="s">
        <v>262</v>
      </c>
      <c r="D72" s="90"/>
      <c r="E72" s="130"/>
      <c r="F72" s="107"/>
      <c r="G72" s="92"/>
      <c r="H72" s="100"/>
      <c r="I72" s="594"/>
      <c r="J72" s="744"/>
      <c r="K72" s="744"/>
      <c r="M72" s="102"/>
    </row>
    <row r="73" spans="1:13" s="50" customFormat="1" ht="78.75">
      <c r="A73" s="114" t="s">
        <v>660</v>
      </c>
      <c r="B73" s="116" t="s">
        <v>1095</v>
      </c>
      <c r="C73" s="122" t="s">
        <v>463</v>
      </c>
      <c r="D73" s="131" t="s">
        <v>21</v>
      </c>
      <c r="E73" s="121">
        <v>46</v>
      </c>
      <c r="F73" s="99">
        <v>95.83</v>
      </c>
      <c r="G73" s="98">
        <f aca="true" t="shared" si="8" ref="G73:G78">ROUND(E73*F73,2)</f>
        <v>4408.18</v>
      </c>
      <c r="H73" s="100">
        <f aca="true" t="shared" si="9" ref="H73:H79">(G73/$G$211)*100</f>
        <v>1.450937982570233</v>
      </c>
      <c r="I73" s="594">
        <v>110.16</v>
      </c>
      <c r="J73" s="744"/>
      <c r="K73" s="744"/>
      <c r="M73" s="102"/>
    </row>
    <row r="74" spans="1:13" s="590" customFormat="1" ht="47.25">
      <c r="A74" s="614" t="s">
        <v>1105</v>
      </c>
      <c r="B74" s="615" t="s">
        <v>1127</v>
      </c>
      <c r="C74" s="171" t="s">
        <v>1128</v>
      </c>
      <c r="D74" s="616" t="s">
        <v>18</v>
      </c>
      <c r="E74" s="617">
        <v>169</v>
      </c>
      <c r="F74" s="99">
        <v>11.84</v>
      </c>
      <c r="G74" s="98">
        <f t="shared" si="8"/>
        <v>2000.96</v>
      </c>
      <c r="H74" s="100">
        <f t="shared" si="9"/>
        <v>0.6586094183095367</v>
      </c>
      <c r="I74" s="594">
        <v>13.62</v>
      </c>
      <c r="J74" s="747"/>
      <c r="K74" s="747"/>
      <c r="M74" s="589"/>
    </row>
    <row r="75" spans="1:13" s="590" customFormat="1" ht="47.25">
      <c r="A75" s="614" t="s">
        <v>1112</v>
      </c>
      <c r="B75" s="615" t="s">
        <v>1114</v>
      </c>
      <c r="C75" s="171" t="s">
        <v>1115</v>
      </c>
      <c r="D75" s="616" t="s">
        <v>18</v>
      </c>
      <c r="E75" s="617">
        <v>169</v>
      </c>
      <c r="F75" s="99">
        <v>9.16</v>
      </c>
      <c r="G75" s="98">
        <f t="shared" si="8"/>
        <v>1548.04</v>
      </c>
      <c r="H75" s="100">
        <f t="shared" si="9"/>
        <v>0.5095322864624455</v>
      </c>
      <c r="I75" s="594">
        <v>10.54</v>
      </c>
      <c r="J75" s="747"/>
      <c r="K75" s="747"/>
      <c r="M75" s="589"/>
    </row>
    <row r="76" spans="1:13" s="590" customFormat="1" ht="31.5">
      <c r="A76" s="614" t="s">
        <v>1113</v>
      </c>
      <c r="B76" s="615" t="s">
        <v>1106</v>
      </c>
      <c r="C76" s="171" t="s">
        <v>1107</v>
      </c>
      <c r="D76" s="616" t="s">
        <v>18</v>
      </c>
      <c r="E76" s="617">
        <v>532.2</v>
      </c>
      <c r="F76" s="99">
        <v>3.33</v>
      </c>
      <c r="G76" s="98">
        <f t="shared" si="8"/>
        <v>1772.23</v>
      </c>
      <c r="H76" s="100">
        <f t="shared" si="9"/>
        <v>0.5833236893344745</v>
      </c>
      <c r="I76" s="594">
        <v>3.83</v>
      </c>
      <c r="J76" s="747"/>
      <c r="K76" s="747"/>
      <c r="M76" s="589"/>
    </row>
    <row r="77" spans="1:13" s="590" customFormat="1" ht="31.5">
      <c r="A77" s="614" t="s">
        <v>1119</v>
      </c>
      <c r="B77" s="615" t="s">
        <v>1121</v>
      </c>
      <c r="C77" s="171" t="s">
        <v>1122</v>
      </c>
      <c r="D77" s="616" t="s">
        <v>21</v>
      </c>
      <c r="E77" s="617">
        <v>42</v>
      </c>
      <c r="F77" s="99">
        <v>39.41</v>
      </c>
      <c r="G77" s="98">
        <f t="shared" si="8"/>
        <v>1655.22</v>
      </c>
      <c r="H77" s="100">
        <f t="shared" si="9"/>
        <v>0.5448102317759033</v>
      </c>
      <c r="I77" s="594">
        <v>45.3</v>
      </c>
      <c r="J77" s="747"/>
      <c r="K77" s="747"/>
      <c r="M77" s="589"/>
    </row>
    <row r="78" spans="1:13" s="590" customFormat="1" ht="15.75">
      <c r="A78" s="614" t="s">
        <v>1120</v>
      </c>
      <c r="B78" s="615" t="s">
        <v>1099</v>
      </c>
      <c r="C78" s="171" t="s">
        <v>1100</v>
      </c>
      <c r="D78" s="616" t="s">
        <v>21</v>
      </c>
      <c r="E78" s="617">
        <v>42</v>
      </c>
      <c r="F78" s="99">
        <v>41.09</v>
      </c>
      <c r="G78" s="98">
        <f t="shared" si="8"/>
        <v>1725.78</v>
      </c>
      <c r="H78" s="100">
        <f t="shared" si="9"/>
        <v>0.5680348242494764</v>
      </c>
      <c r="I78" s="594">
        <v>47.24</v>
      </c>
      <c r="J78" s="747"/>
      <c r="K78" s="747"/>
      <c r="M78" s="589"/>
    </row>
    <row r="79" spans="1:13" s="50" customFormat="1" ht="15.75">
      <c r="A79" s="103"/>
      <c r="B79" s="103"/>
      <c r="C79" s="671" t="s">
        <v>16</v>
      </c>
      <c r="D79" s="671"/>
      <c r="E79" s="671"/>
      <c r="F79" s="104"/>
      <c r="G79" s="105">
        <f>SUM(G73:G78)</f>
        <v>13110.41</v>
      </c>
      <c r="H79" s="106">
        <f t="shared" si="9"/>
        <v>4.315248432702069</v>
      </c>
      <c r="I79" s="594"/>
      <c r="J79" s="744"/>
      <c r="K79" s="744"/>
      <c r="M79" s="102"/>
    </row>
    <row r="80" spans="1:13" s="50" customFormat="1" ht="15.75">
      <c r="A80" s="115" t="s">
        <v>662</v>
      </c>
      <c r="B80" s="116"/>
      <c r="C80" s="623" t="s">
        <v>534</v>
      </c>
      <c r="D80" s="117"/>
      <c r="E80" s="117"/>
      <c r="F80" s="132"/>
      <c r="G80" s="133"/>
      <c r="H80" s="100"/>
      <c r="I80" s="594"/>
      <c r="J80" s="744"/>
      <c r="K80" s="744"/>
      <c r="M80" s="102"/>
    </row>
    <row r="81" spans="1:13" s="50" customFormat="1" ht="15.75">
      <c r="A81" s="115"/>
      <c r="B81" s="460"/>
      <c r="C81" s="586" t="s">
        <v>535</v>
      </c>
      <c r="D81" s="587"/>
      <c r="E81" s="587"/>
      <c r="F81" s="132"/>
      <c r="G81" s="133"/>
      <c r="H81" s="100"/>
      <c r="I81" s="594"/>
      <c r="J81" s="744"/>
      <c r="K81" s="744"/>
      <c r="M81" s="102"/>
    </row>
    <row r="82" spans="1:13" s="50" customFormat="1" ht="63">
      <c r="A82" s="115" t="s">
        <v>663</v>
      </c>
      <c r="B82" s="134" t="s">
        <v>897</v>
      </c>
      <c r="C82" s="140" t="s">
        <v>469</v>
      </c>
      <c r="D82" s="135" t="s">
        <v>18</v>
      </c>
      <c r="E82" s="129">
        <v>12.51</v>
      </c>
      <c r="F82" s="99">
        <v>16.89</v>
      </c>
      <c r="G82" s="98">
        <f aca="true" t="shared" si="10" ref="G82:G95">ROUND(E82*F82,2)</f>
        <v>211.29</v>
      </c>
      <c r="H82" s="136">
        <f aca="true" t="shared" si="11" ref="H82:H95">(G82/$G$211)*100</f>
        <v>0.0695454102004148</v>
      </c>
      <c r="I82" s="594">
        <v>19.42</v>
      </c>
      <c r="J82" s="744"/>
      <c r="K82" s="744"/>
      <c r="M82" s="102"/>
    </row>
    <row r="83" spans="1:13" s="50" customFormat="1" ht="63">
      <c r="A83" s="115" t="s">
        <v>664</v>
      </c>
      <c r="B83" s="134" t="s">
        <v>474</v>
      </c>
      <c r="C83" s="140" t="s">
        <v>475</v>
      </c>
      <c r="D83" s="135" t="s">
        <v>18</v>
      </c>
      <c r="E83" s="129">
        <v>7.62</v>
      </c>
      <c r="F83" s="99">
        <v>8.04</v>
      </c>
      <c r="G83" s="98">
        <f t="shared" si="10"/>
        <v>61.26</v>
      </c>
      <c r="H83" s="136">
        <f t="shared" si="11"/>
        <v>0.020163527989386202</v>
      </c>
      <c r="I83" s="594">
        <v>9.25</v>
      </c>
      <c r="J83" s="744"/>
      <c r="K83" s="744"/>
      <c r="M83" s="102"/>
    </row>
    <row r="84" spans="1:13" s="50" customFormat="1" ht="31.5">
      <c r="A84" s="115" t="s">
        <v>665</v>
      </c>
      <c r="B84" s="134" t="s">
        <v>478</v>
      </c>
      <c r="C84" s="140" t="s">
        <v>479</v>
      </c>
      <c r="D84" s="135" t="s">
        <v>21</v>
      </c>
      <c r="E84" s="129">
        <v>3</v>
      </c>
      <c r="F84" s="99">
        <v>3.79</v>
      </c>
      <c r="G84" s="98">
        <f t="shared" si="10"/>
        <v>11.37</v>
      </c>
      <c r="H84" s="136">
        <f t="shared" si="11"/>
        <v>0.003742398191957576</v>
      </c>
      <c r="I84" s="594">
        <v>4.36</v>
      </c>
      <c r="J84" s="744"/>
      <c r="K84" s="744"/>
      <c r="M84" s="102"/>
    </row>
    <row r="85" spans="1:13" s="50" customFormat="1" ht="15.75">
      <c r="A85" s="115" t="s">
        <v>666</v>
      </c>
      <c r="B85" s="134" t="s">
        <v>482</v>
      </c>
      <c r="C85" s="140" t="s">
        <v>483</v>
      </c>
      <c r="D85" s="135" t="s">
        <v>21</v>
      </c>
      <c r="E85" s="129">
        <v>12</v>
      </c>
      <c r="F85" s="99">
        <v>3.45</v>
      </c>
      <c r="G85" s="98">
        <f t="shared" si="10"/>
        <v>41.4</v>
      </c>
      <c r="H85" s="136">
        <f t="shared" si="11"/>
        <v>0.01362667415541281</v>
      </c>
      <c r="I85" s="594">
        <v>3.97</v>
      </c>
      <c r="J85" s="744"/>
      <c r="K85" s="744"/>
      <c r="M85" s="102"/>
    </row>
    <row r="86" spans="1:13" s="50" customFormat="1" ht="15.75">
      <c r="A86" s="115" t="s">
        <v>667</v>
      </c>
      <c r="B86" s="134" t="s">
        <v>486</v>
      </c>
      <c r="C86" s="140" t="s">
        <v>487</v>
      </c>
      <c r="D86" s="135" t="s">
        <v>21</v>
      </c>
      <c r="E86" s="129">
        <v>1</v>
      </c>
      <c r="F86" s="99">
        <v>0.5</v>
      </c>
      <c r="G86" s="98">
        <f t="shared" si="10"/>
        <v>0.5</v>
      </c>
      <c r="H86" s="136">
        <f t="shared" si="11"/>
        <v>0.00016457335936488903</v>
      </c>
      <c r="I86" s="594">
        <v>0.58</v>
      </c>
      <c r="J86" s="744"/>
      <c r="K86" s="744"/>
      <c r="M86" s="102"/>
    </row>
    <row r="87" spans="1:13" s="50" customFormat="1" ht="31.5">
      <c r="A87" s="115" t="s">
        <v>668</v>
      </c>
      <c r="B87" s="134" t="s">
        <v>490</v>
      </c>
      <c r="C87" s="140" t="s">
        <v>491</v>
      </c>
      <c r="D87" s="135" t="s">
        <v>21</v>
      </c>
      <c r="E87" s="129">
        <v>3</v>
      </c>
      <c r="F87" s="99">
        <v>5.45</v>
      </c>
      <c r="G87" s="98">
        <f t="shared" si="10"/>
        <v>16.35</v>
      </c>
      <c r="H87" s="136">
        <f t="shared" si="11"/>
        <v>0.005381548851231871</v>
      </c>
      <c r="I87" s="594">
        <v>6.27</v>
      </c>
      <c r="J87" s="744"/>
      <c r="K87" s="744"/>
      <c r="M87" s="102"/>
    </row>
    <row r="88" spans="1:13" s="50" customFormat="1" ht="15.75">
      <c r="A88" s="115" t="s">
        <v>669</v>
      </c>
      <c r="B88" s="134" t="s">
        <v>543</v>
      </c>
      <c r="C88" s="140" t="s">
        <v>544</v>
      </c>
      <c r="D88" s="135" t="s">
        <v>21</v>
      </c>
      <c r="E88" s="129">
        <v>1</v>
      </c>
      <c r="F88" s="99">
        <v>6.5</v>
      </c>
      <c r="G88" s="98">
        <f t="shared" si="10"/>
        <v>6.5</v>
      </c>
      <c r="H88" s="136">
        <f t="shared" si="11"/>
        <v>0.0021394536717435574</v>
      </c>
      <c r="I88" s="596">
        <v>7.48</v>
      </c>
      <c r="J88" s="744"/>
      <c r="K88" s="744"/>
      <c r="M88" s="102"/>
    </row>
    <row r="89" spans="1:13" s="50" customFormat="1" ht="15.75">
      <c r="A89" s="115" t="s">
        <v>670</v>
      </c>
      <c r="B89" s="134" t="s">
        <v>547</v>
      </c>
      <c r="C89" s="140" t="s">
        <v>548</v>
      </c>
      <c r="D89" s="135" t="s">
        <v>21</v>
      </c>
      <c r="E89" s="129">
        <v>1</v>
      </c>
      <c r="F89" s="99">
        <v>0.79</v>
      </c>
      <c r="G89" s="98">
        <f t="shared" si="10"/>
        <v>0.79</v>
      </c>
      <c r="H89" s="136">
        <f t="shared" si="11"/>
        <v>0.0002600259077965247</v>
      </c>
      <c r="I89" s="596">
        <v>0.91</v>
      </c>
      <c r="J89" s="744"/>
      <c r="K89" s="744"/>
      <c r="M89" s="102"/>
    </row>
    <row r="90" spans="1:13" s="50" customFormat="1" ht="31.5">
      <c r="A90" s="115" t="s">
        <v>671</v>
      </c>
      <c r="B90" s="134" t="s">
        <v>494</v>
      </c>
      <c r="C90" s="140" t="s">
        <v>495</v>
      </c>
      <c r="D90" s="135" t="s">
        <v>21</v>
      </c>
      <c r="E90" s="129">
        <v>3</v>
      </c>
      <c r="F90" s="99">
        <v>2.79</v>
      </c>
      <c r="G90" s="98">
        <f t="shared" si="10"/>
        <v>8.37</v>
      </c>
      <c r="H90" s="136">
        <f t="shared" si="11"/>
        <v>0.002754958035768242</v>
      </c>
      <c r="I90" s="596">
        <v>3.21</v>
      </c>
      <c r="J90" s="744"/>
      <c r="K90" s="744"/>
      <c r="M90" s="102"/>
    </row>
    <row r="91" spans="1:13" s="50" customFormat="1" ht="63">
      <c r="A91" s="115" t="s">
        <v>672</v>
      </c>
      <c r="B91" s="134" t="s">
        <v>898</v>
      </c>
      <c r="C91" s="140" t="s">
        <v>498</v>
      </c>
      <c r="D91" s="135" t="s">
        <v>21</v>
      </c>
      <c r="E91" s="129">
        <v>3</v>
      </c>
      <c r="F91" s="99">
        <v>150.66</v>
      </c>
      <c r="G91" s="98">
        <f t="shared" si="10"/>
        <v>451.98</v>
      </c>
      <c r="H91" s="136">
        <f t="shared" si="11"/>
        <v>0.1487677339314851</v>
      </c>
      <c r="I91" s="596">
        <v>173.18</v>
      </c>
      <c r="J91" s="744"/>
      <c r="K91" s="744"/>
      <c r="M91" s="102"/>
    </row>
    <row r="92" spans="1:13" s="50" customFormat="1" ht="31.5">
      <c r="A92" s="115" t="s">
        <v>673</v>
      </c>
      <c r="B92" s="134" t="s">
        <v>501</v>
      </c>
      <c r="C92" s="140" t="s">
        <v>502</v>
      </c>
      <c r="D92" s="135" t="s">
        <v>21</v>
      </c>
      <c r="E92" s="129">
        <v>3</v>
      </c>
      <c r="F92" s="99">
        <v>13.4</v>
      </c>
      <c r="G92" s="98">
        <f t="shared" si="10"/>
        <v>40.2</v>
      </c>
      <c r="H92" s="136">
        <f t="shared" si="11"/>
        <v>0.013231698092937077</v>
      </c>
      <c r="I92" s="596">
        <v>15.41</v>
      </c>
      <c r="J92" s="744"/>
      <c r="K92" s="744"/>
      <c r="M92" s="102"/>
    </row>
    <row r="93" spans="1:13" s="50" customFormat="1" ht="15.75">
      <c r="A93" s="115" t="s">
        <v>674</v>
      </c>
      <c r="B93" s="134" t="s">
        <v>505</v>
      </c>
      <c r="C93" s="140" t="s">
        <v>506</v>
      </c>
      <c r="D93" s="135" t="s">
        <v>21</v>
      </c>
      <c r="E93" s="129">
        <v>3</v>
      </c>
      <c r="F93" s="99">
        <v>24.98</v>
      </c>
      <c r="G93" s="98">
        <f t="shared" si="10"/>
        <v>74.94</v>
      </c>
      <c r="H93" s="136">
        <f t="shared" si="11"/>
        <v>0.02466625510160957</v>
      </c>
      <c r="I93" s="594">
        <v>28.72</v>
      </c>
      <c r="J93" s="744"/>
      <c r="K93" s="744"/>
      <c r="M93" s="102"/>
    </row>
    <row r="94" spans="1:13" s="50" customFormat="1" ht="63">
      <c r="A94" s="115" t="s">
        <v>675</v>
      </c>
      <c r="B94" s="134" t="s">
        <v>901</v>
      </c>
      <c r="C94" s="140" t="s">
        <v>509</v>
      </c>
      <c r="D94" s="135" t="s">
        <v>21</v>
      </c>
      <c r="E94" s="129">
        <v>30</v>
      </c>
      <c r="F94" s="99">
        <v>5.91</v>
      </c>
      <c r="G94" s="98">
        <f t="shared" si="10"/>
        <v>177.3</v>
      </c>
      <c r="H94" s="136">
        <f t="shared" si="11"/>
        <v>0.05835771323078964</v>
      </c>
      <c r="I94" s="594">
        <v>6.8</v>
      </c>
      <c r="J94" s="744"/>
      <c r="K94" s="744"/>
      <c r="M94" s="102"/>
    </row>
    <row r="95" spans="1:13" s="50" customFormat="1" ht="31.5">
      <c r="A95" s="115" t="s">
        <v>676</v>
      </c>
      <c r="B95" s="134" t="s">
        <v>902</v>
      </c>
      <c r="C95" s="140" t="s">
        <v>606</v>
      </c>
      <c r="D95" s="135" t="s">
        <v>18</v>
      </c>
      <c r="E95" s="129">
        <v>20.13</v>
      </c>
      <c r="F95" s="99">
        <v>14.14</v>
      </c>
      <c r="G95" s="98">
        <f t="shared" si="10"/>
        <v>284.64</v>
      </c>
      <c r="H95" s="136">
        <f t="shared" si="11"/>
        <v>0.09368832201924401</v>
      </c>
      <c r="I95" s="594">
        <v>16.26</v>
      </c>
      <c r="J95" s="744"/>
      <c r="K95" s="744"/>
      <c r="M95" s="102"/>
    </row>
    <row r="96" spans="1:13" s="50" customFormat="1" ht="15.75">
      <c r="A96" s="580"/>
      <c r="B96" s="170"/>
      <c r="C96" s="581" t="s">
        <v>536</v>
      </c>
      <c r="D96" s="582"/>
      <c r="E96" s="567"/>
      <c r="F96" s="583"/>
      <c r="G96" s="584"/>
      <c r="H96" s="585"/>
      <c r="I96" s="594"/>
      <c r="J96" s="744"/>
      <c r="K96" s="744"/>
      <c r="M96" s="102"/>
    </row>
    <row r="97" spans="1:13" s="50" customFormat="1" ht="63">
      <c r="A97" s="115" t="s">
        <v>677</v>
      </c>
      <c r="B97" s="134" t="s">
        <v>903</v>
      </c>
      <c r="C97" s="624" t="s">
        <v>510</v>
      </c>
      <c r="D97" s="135" t="s">
        <v>18</v>
      </c>
      <c r="E97" s="129">
        <v>1.1</v>
      </c>
      <c r="F97" s="99">
        <v>22.36</v>
      </c>
      <c r="G97" s="98">
        <f aca="true" t="shared" si="12" ref="G97:G106">ROUND(E97*F97,2)</f>
        <v>24.6</v>
      </c>
      <c r="H97" s="136">
        <f aca="true" t="shared" si="13" ref="H97:H107">(G97/$G$211)*100</f>
        <v>0.00809700928075254</v>
      </c>
      <c r="I97" s="594">
        <v>25.71</v>
      </c>
      <c r="J97" s="744"/>
      <c r="K97" s="744"/>
      <c r="M97" s="102"/>
    </row>
    <row r="98" spans="1:13" s="50" customFormat="1" ht="63">
      <c r="A98" s="115" t="s">
        <v>678</v>
      </c>
      <c r="B98" s="134" t="s">
        <v>904</v>
      </c>
      <c r="C98" s="624" t="s">
        <v>513</v>
      </c>
      <c r="D98" s="135" t="s">
        <v>18</v>
      </c>
      <c r="E98" s="129">
        <v>2.2</v>
      </c>
      <c r="F98" s="647">
        <v>1403</v>
      </c>
      <c r="G98" s="98">
        <f t="shared" si="12"/>
        <v>3086.6</v>
      </c>
      <c r="H98" s="136">
        <f t="shared" si="13"/>
        <v>1.015944262031333</v>
      </c>
      <c r="I98" s="594">
        <v>16.44</v>
      </c>
      <c r="J98" s="744"/>
      <c r="K98" s="744"/>
      <c r="M98" s="102"/>
    </row>
    <row r="99" spans="1:13" s="50" customFormat="1" ht="63">
      <c r="A99" s="115" t="s">
        <v>679</v>
      </c>
      <c r="B99" s="134" t="s">
        <v>905</v>
      </c>
      <c r="C99" s="624" t="s">
        <v>516</v>
      </c>
      <c r="D99" s="135" t="s">
        <v>18</v>
      </c>
      <c r="E99" s="129">
        <v>3.45</v>
      </c>
      <c r="F99" s="99">
        <v>10.32</v>
      </c>
      <c r="G99" s="98">
        <f t="shared" si="12"/>
        <v>35.6</v>
      </c>
      <c r="H99" s="136">
        <f t="shared" si="13"/>
        <v>0.0117176231867801</v>
      </c>
      <c r="I99" s="594">
        <v>11.87</v>
      </c>
      <c r="J99" s="744"/>
      <c r="K99" s="744"/>
      <c r="M99" s="102"/>
    </row>
    <row r="100" spans="1:13" s="50" customFormat="1" ht="15.75">
      <c r="A100" s="115" t="s">
        <v>680</v>
      </c>
      <c r="B100" s="134" t="s">
        <v>906</v>
      </c>
      <c r="C100" s="624" t="s">
        <v>519</v>
      </c>
      <c r="D100" s="135" t="s">
        <v>21</v>
      </c>
      <c r="E100" s="129">
        <v>5</v>
      </c>
      <c r="F100" s="99">
        <v>4.64</v>
      </c>
      <c r="G100" s="98">
        <f t="shared" si="12"/>
        <v>23.2</v>
      </c>
      <c r="H100" s="136">
        <f t="shared" si="13"/>
        <v>0.00763620387453085</v>
      </c>
      <c r="I100" s="594">
        <v>5.34</v>
      </c>
      <c r="J100" s="744"/>
      <c r="K100" s="744"/>
      <c r="M100" s="102"/>
    </row>
    <row r="101" spans="1:13" s="50" customFormat="1" ht="15.75">
      <c r="A101" s="115" t="s">
        <v>681</v>
      </c>
      <c r="B101" s="134" t="s">
        <v>1035</v>
      </c>
      <c r="C101" s="624" t="s">
        <v>522</v>
      </c>
      <c r="D101" s="135" t="s">
        <v>21</v>
      </c>
      <c r="E101" s="129">
        <v>3</v>
      </c>
      <c r="F101" s="99">
        <v>3.96</v>
      </c>
      <c r="G101" s="98">
        <f t="shared" si="12"/>
        <v>11.88</v>
      </c>
      <c r="H101" s="136">
        <f t="shared" si="13"/>
        <v>0.003910263018509764</v>
      </c>
      <c r="I101" s="594">
        <v>4.56</v>
      </c>
      <c r="J101" s="744"/>
      <c r="K101" s="744"/>
      <c r="M101" s="102"/>
    </row>
    <row r="102" spans="1:13" s="50" customFormat="1" ht="78.75">
      <c r="A102" s="115" t="s">
        <v>682</v>
      </c>
      <c r="B102" s="134" t="s">
        <v>907</v>
      </c>
      <c r="C102" s="624" t="s">
        <v>525</v>
      </c>
      <c r="D102" s="135" t="s">
        <v>21</v>
      </c>
      <c r="E102" s="129">
        <v>3</v>
      </c>
      <c r="F102" s="99">
        <v>62.05</v>
      </c>
      <c r="G102" s="98">
        <f t="shared" si="12"/>
        <v>186.15</v>
      </c>
      <c r="H102" s="136">
        <f t="shared" si="13"/>
        <v>0.06127066169154819</v>
      </c>
      <c r="I102" s="594">
        <v>71.33</v>
      </c>
      <c r="J102" s="744"/>
      <c r="K102" s="744"/>
      <c r="M102" s="102"/>
    </row>
    <row r="103" spans="1:13" s="50" customFormat="1" ht="47.25">
      <c r="A103" s="115" t="s">
        <v>683</v>
      </c>
      <c r="B103" s="134" t="s">
        <v>908</v>
      </c>
      <c r="C103" s="140" t="s">
        <v>532</v>
      </c>
      <c r="D103" s="135" t="s">
        <v>21</v>
      </c>
      <c r="E103" s="137">
        <v>3</v>
      </c>
      <c r="F103" s="99">
        <v>1.47</v>
      </c>
      <c r="G103" s="98">
        <f t="shared" si="12"/>
        <v>4.41</v>
      </c>
      <c r="H103" s="136">
        <f t="shared" si="13"/>
        <v>0.0014515370295983211</v>
      </c>
      <c r="I103" s="594">
        <v>1.69</v>
      </c>
      <c r="J103" s="744"/>
      <c r="K103" s="744"/>
      <c r="M103" s="102"/>
    </row>
    <row r="104" spans="1:13" s="50" customFormat="1" ht="47.25">
      <c r="A104" s="115" t="s">
        <v>684</v>
      </c>
      <c r="B104" s="134" t="s">
        <v>909</v>
      </c>
      <c r="C104" s="140" t="s">
        <v>533</v>
      </c>
      <c r="D104" s="135" t="s">
        <v>21</v>
      </c>
      <c r="E104" s="129">
        <v>5</v>
      </c>
      <c r="F104" s="99">
        <v>1.84</v>
      </c>
      <c r="G104" s="98">
        <f t="shared" si="12"/>
        <v>9.2</v>
      </c>
      <c r="H104" s="136">
        <f t="shared" si="13"/>
        <v>0.003028149812313958</v>
      </c>
      <c r="I104" s="594">
        <v>2.12</v>
      </c>
      <c r="J104" s="744"/>
      <c r="K104" s="744"/>
      <c r="M104" s="102"/>
    </row>
    <row r="105" spans="1:13" s="50" customFormat="1" ht="47.25">
      <c r="A105" s="115" t="s">
        <v>685</v>
      </c>
      <c r="B105" s="95" t="s">
        <v>792</v>
      </c>
      <c r="C105" s="140" t="s">
        <v>539</v>
      </c>
      <c r="D105" s="97" t="s">
        <v>19</v>
      </c>
      <c r="E105" s="129">
        <v>0.1</v>
      </c>
      <c r="F105" s="99">
        <v>212.13</v>
      </c>
      <c r="G105" s="98">
        <f t="shared" si="12"/>
        <v>21.21</v>
      </c>
      <c r="H105" s="136">
        <f t="shared" si="13"/>
        <v>0.006981201904258593</v>
      </c>
      <c r="I105" s="594">
        <v>243.83</v>
      </c>
      <c r="J105" s="744"/>
      <c r="K105" s="744"/>
      <c r="M105" s="102"/>
    </row>
    <row r="106" spans="1:13" s="50" customFormat="1" ht="47.25">
      <c r="A106" s="115" t="s">
        <v>686</v>
      </c>
      <c r="B106" s="138" t="s">
        <v>1096</v>
      </c>
      <c r="C106" s="140" t="s">
        <v>542</v>
      </c>
      <c r="D106" s="135" t="s">
        <v>19</v>
      </c>
      <c r="E106" s="129">
        <v>0.1</v>
      </c>
      <c r="F106" s="99">
        <v>465.28</v>
      </c>
      <c r="G106" s="98">
        <f t="shared" si="12"/>
        <v>46.53</v>
      </c>
      <c r="H106" s="136">
        <f t="shared" si="13"/>
        <v>0.015315196822496572</v>
      </c>
      <c r="I106" s="594">
        <v>534.81</v>
      </c>
      <c r="J106" s="744"/>
      <c r="K106" s="744"/>
      <c r="M106" s="102"/>
    </row>
    <row r="107" spans="1:13" s="50" customFormat="1" ht="15.75">
      <c r="A107" s="103"/>
      <c r="B107" s="103"/>
      <c r="C107" s="671" t="s">
        <v>16</v>
      </c>
      <c r="D107" s="671"/>
      <c r="E107" s="671"/>
      <c r="F107" s="104"/>
      <c r="G107" s="105">
        <f>SUM(G82:G106)</f>
        <v>4836.2699999999995</v>
      </c>
      <c r="H107" s="106">
        <f t="shared" si="13"/>
        <v>1.5918424013912635</v>
      </c>
      <c r="I107" s="594"/>
      <c r="J107" s="744"/>
      <c r="K107" s="744"/>
      <c r="M107" s="102"/>
    </row>
    <row r="108" spans="1:13" s="50" customFormat="1" ht="15.75">
      <c r="A108" s="88" t="s">
        <v>687</v>
      </c>
      <c r="B108" s="88"/>
      <c r="C108" s="89" t="s">
        <v>306</v>
      </c>
      <c r="D108" s="90"/>
      <c r="E108" s="130"/>
      <c r="F108" s="127"/>
      <c r="G108" s="128"/>
      <c r="H108" s="100"/>
      <c r="I108" s="594"/>
      <c r="J108" s="744"/>
      <c r="K108" s="744"/>
      <c r="M108" s="102"/>
    </row>
    <row r="109" spans="1:13" s="50" customFormat="1" ht="47.25">
      <c r="A109" s="88" t="s">
        <v>688</v>
      </c>
      <c r="B109" s="109" t="s">
        <v>1052</v>
      </c>
      <c r="C109" s="96" t="s">
        <v>27</v>
      </c>
      <c r="D109" s="97" t="s">
        <v>21</v>
      </c>
      <c r="E109" s="112">
        <v>5</v>
      </c>
      <c r="F109" s="99">
        <v>1199.17</v>
      </c>
      <c r="G109" s="98">
        <f aca="true" t="shared" si="14" ref="G109:G119">ROUND(E109*F109,2)</f>
        <v>5995.85</v>
      </c>
      <c r="H109" s="100">
        <f aca="true" t="shared" si="15" ref="H109:H120">(G109/$G$211)*100</f>
        <v>1.9735143534959396</v>
      </c>
      <c r="I109" s="594">
        <v>1378.36</v>
      </c>
      <c r="J109" s="744"/>
      <c r="K109" s="744"/>
      <c r="M109" s="102"/>
    </row>
    <row r="110" spans="1:13" s="50" customFormat="1" ht="63">
      <c r="A110" s="88" t="s">
        <v>689</v>
      </c>
      <c r="B110" s="95" t="s">
        <v>918</v>
      </c>
      <c r="C110" s="96" t="s">
        <v>149</v>
      </c>
      <c r="D110" s="97" t="s">
        <v>21</v>
      </c>
      <c r="E110" s="112">
        <v>1</v>
      </c>
      <c r="F110" s="99">
        <v>113.32</v>
      </c>
      <c r="G110" s="98">
        <f t="shared" si="14"/>
        <v>113.32</v>
      </c>
      <c r="H110" s="100">
        <f t="shared" si="15"/>
        <v>0.037298906166458444</v>
      </c>
      <c r="I110" s="594">
        <v>130.26</v>
      </c>
      <c r="J110" s="744"/>
      <c r="K110" s="744"/>
      <c r="M110" s="102"/>
    </row>
    <row r="111" spans="1:13" s="50" customFormat="1" ht="63">
      <c r="A111" s="88" t="s">
        <v>690</v>
      </c>
      <c r="B111" s="95" t="s">
        <v>919</v>
      </c>
      <c r="C111" s="96" t="s">
        <v>152</v>
      </c>
      <c r="D111" s="97" t="s">
        <v>21</v>
      </c>
      <c r="E111" s="112">
        <v>6</v>
      </c>
      <c r="F111" s="99">
        <v>137.66</v>
      </c>
      <c r="G111" s="98">
        <f t="shared" si="14"/>
        <v>825.96</v>
      </c>
      <c r="H111" s="100">
        <f t="shared" si="15"/>
        <v>0.2718620238020475</v>
      </c>
      <c r="I111" s="594">
        <v>158.23</v>
      </c>
      <c r="J111" s="744"/>
      <c r="K111" s="744"/>
      <c r="M111" s="102"/>
    </row>
    <row r="112" spans="1:13" s="50" customFormat="1" ht="63">
      <c r="A112" s="88" t="s">
        <v>691</v>
      </c>
      <c r="B112" s="109" t="s">
        <v>920</v>
      </c>
      <c r="C112" s="96" t="s">
        <v>607</v>
      </c>
      <c r="D112" s="97" t="s">
        <v>21</v>
      </c>
      <c r="E112" s="112">
        <v>13</v>
      </c>
      <c r="F112" s="99">
        <v>215.27</v>
      </c>
      <c r="G112" s="98">
        <f t="shared" si="14"/>
        <v>2798.51</v>
      </c>
      <c r="H112" s="100">
        <f t="shared" si="15"/>
        <v>0.9211203838324713</v>
      </c>
      <c r="I112" s="594">
        <v>247.44</v>
      </c>
      <c r="J112" s="744"/>
      <c r="K112" s="744"/>
      <c r="M112" s="102"/>
    </row>
    <row r="113" spans="1:16" s="144" customFormat="1" ht="31.5">
      <c r="A113" s="88" t="s">
        <v>692</v>
      </c>
      <c r="B113" s="109" t="s">
        <v>1059</v>
      </c>
      <c r="C113" s="140" t="s">
        <v>28</v>
      </c>
      <c r="D113" s="141" t="s">
        <v>21</v>
      </c>
      <c r="E113" s="142">
        <v>14</v>
      </c>
      <c r="F113" s="99">
        <v>244.24</v>
      </c>
      <c r="G113" s="98">
        <f t="shared" si="14"/>
        <v>3419.36</v>
      </c>
      <c r="H113" s="143">
        <f t="shared" si="15"/>
        <v>1.125471124155854</v>
      </c>
      <c r="I113" s="594">
        <v>280.74</v>
      </c>
      <c r="J113" s="744"/>
      <c r="K113" s="744"/>
      <c r="L113" s="50"/>
      <c r="M113" s="102"/>
      <c r="N113" s="50"/>
      <c r="O113" s="50"/>
      <c r="P113" s="50"/>
    </row>
    <row r="114" spans="1:13" s="50" customFormat="1" ht="63">
      <c r="A114" s="88" t="s">
        <v>693</v>
      </c>
      <c r="B114" s="109" t="s">
        <v>1060</v>
      </c>
      <c r="C114" s="122" t="s">
        <v>232</v>
      </c>
      <c r="D114" s="131" t="s">
        <v>21</v>
      </c>
      <c r="E114" s="146">
        <v>1</v>
      </c>
      <c r="F114" s="99">
        <v>2512.84</v>
      </c>
      <c r="G114" s="98">
        <f t="shared" si="14"/>
        <v>2512.84</v>
      </c>
      <c r="H114" s="100">
        <f t="shared" si="15"/>
        <v>0.8270930406929355</v>
      </c>
      <c r="I114" s="594">
        <v>2888.33</v>
      </c>
      <c r="J114" s="744"/>
      <c r="K114" s="744"/>
      <c r="M114" s="102"/>
    </row>
    <row r="115" spans="1:13" s="50" customFormat="1" ht="63">
      <c r="A115" s="88" t="s">
        <v>694</v>
      </c>
      <c r="B115" s="109" t="s">
        <v>1061</v>
      </c>
      <c r="C115" s="122" t="s">
        <v>234</v>
      </c>
      <c r="D115" s="131" t="s">
        <v>21</v>
      </c>
      <c r="E115" s="146">
        <v>3</v>
      </c>
      <c r="F115" s="99">
        <v>2987.48</v>
      </c>
      <c r="G115" s="98">
        <f t="shared" si="14"/>
        <v>8962.44</v>
      </c>
      <c r="H115" s="100">
        <f t="shared" si="15"/>
        <v>2.949957717812512</v>
      </c>
      <c r="I115" s="594">
        <v>3433.89</v>
      </c>
      <c r="J115" s="744"/>
      <c r="K115" s="744"/>
      <c r="M115" s="102"/>
    </row>
    <row r="116" spans="1:13" s="50" customFormat="1" ht="31.5">
      <c r="A116" s="88" t="s">
        <v>695</v>
      </c>
      <c r="B116" s="109" t="s">
        <v>1062</v>
      </c>
      <c r="C116" s="96" t="s">
        <v>448</v>
      </c>
      <c r="D116" s="97" t="s">
        <v>21</v>
      </c>
      <c r="E116" s="112">
        <v>4</v>
      </c>
      <c r="F116" s="99">
        <v>290.01</v>
      </c>
      <c r="G116" s="98">
        <f t="shared" si="14"/>
        <v>1160.04</v>
      </c>
      <c r="H116" s="100">
        <f t="shared" si="15"/>
        <v>0.38182335959529173</v>
      </c>
      <c r="I116" s="594">
        <v>333.35</v>
      </c>
      <c r="J116" s="744"/>
      <c r="K116" s="744"/>
      <c r="M116" s="102"/>
    </row>
    <row r="117" spans="1:13" s="50" customFormat="1" ht="47.25">
      <c r="A117" s="88" t="s">
        <v>696</v>
      </c>
      <c r="B117" s="109" t="s">
        <v>1064</v>
      </c>
      <c r="C117" s="96" t="s">
        <v>399</v>
      </c>
      <c r="D117" s="97" t="s">
        <v>21</v>
      </c>
      <c r="E117" s="112">
        <v>2</v>
      </c>
      <c r="F117" s="99">
        <v>46.86</v>
      </c>
      <c r="G117" s="98">
        <f t="shared" si="14"/>
        <v>93.72</v>
      </c>
      <c r="H117" s="100">
        <f t="shared" si="15"/>
        <v>0.0308476304793548</v>
      </c>
      <c r="I117" s="594">
        <v>53.87</v>
      </c>
      <c r="J117" s="744"/>
      <c r="K117" s="744"/>
      <c r="M117" s="102"/>
    </row>
    <row r="118" spans="1:13" s="50" customFormat="1" ht="15.75">
      <c r="A118" s="88" t="s">
        <v>697</v>
      </c>
      <c r="B118" s="109" t="s">
        <v>1065</v>
      </c>
      <c r="C118" s="147" t="s">
        <v>310</v>
      </c>
      <c r="D118" s="97" t="s">
        <v>21</v>
      </c>
      <c r="E118" s="129">
        <v>8</v>
      </c>
      <c r="F118" s="99">
        <v>45.57</v>
      </c>
      <c r="G118" s="98">
        <f t="shared" si="14"/>
        <v>364.56</v>
      </c>
      <c r="H118" s="100">
        <f t="shared" si="15"/>
        <v>0.11999372778012789</v>
      </c>
      <c r="I118" s="594">
        <v>52.38</v>
      </c>
      <c r="J118" s="744"/>
      <c r="K118" s="744"/>
      <c r="M118" s="102"/>
    </row>
    <row r="119" spans="1:13" s="50" customFormat="1" ht="31.5">
      <c r="A119" s="88" t="s">
        <v>698</v>
      </c>
      <c r="B119" s="148" t="s">
        <v>924</v>
      </c>
      <c r="C119" s="96" t="s">
        <v>440</v>
      </c>
      <c r="D119" s="50" t="s">
        <v>21</v>
      </c>
      <c r="E119" s="129">
        <v>8</v>
      </c>
      <c r="F119" s="99">
        <v>24.24</v>
      </c>
      <c r="G119" s="98">
        <f t="shared" si="14"/>
        <v>193.92</v>
      </c>
      <c r="H119" s="100">
        <f t="shared" si="15"/>
        <v>0.06382813169607855</v>
      </c>
      <c r="I119" s="594">
        <v>27.87</v>
      </c>
      <c r="J119" s="744"/>
      <c r="K119" s="744"/>
      <c r="M119" s="102"/>
    </row>
    <row r="120" spans="1:13" s="50" customFormat="1" ht="15.75">
      <c r="A120" s="103"/>
      <c r="B120" s="103"/>
      <c r="C120" s="671" t="s">
        <v>16</v>
      </c>
      <c r="D120" s="671"/>
      <c r="E120" s="671"/>
      <c r="F120" s="104"/>
      <c r="G120" s="105">
        <f>SUM(G109:G119)</f>
        <v>26440.52</v>
      </c>
      <c r="H120" s="106">
        <f t="shared" si="15"/>
        <v>8.70281039950907</v>
      </c>
      <c r="I120" s="594"/>
      <c r="J120" s="744"/>
      <c r="K120" s="744"/>
      <c r="M120" s="102"/>
    </row>
    <row r="121" spans="1:13" s="50" customFormat="1" ht="15.75">
      <c r="A121" s="88" t="s">
        <v>699</v>
      </c>
      <c r="B121" s="88"/>
      <c r="C121" s="89" t="s">
        <v>29</v>
      </c>
      <c r="D121" s="90"/>
      <c r="E121" s="130"/>
      <c r="F121" s="107"/>
      <c r="G121" s="92"/>
      <c r="H121" s="100"/>
      <c r="I121" s="594"/>
      <c r="J121" s="744"/>
      <c r="K121" s="744"/>
      <c r="M121" s="102"/>
    </row>
    <row r="122" spans="1:13" s="50" customFormat="1" ht="47.25">
      <c r="A122" s="88" t="s">
        <v>700</v>
      </c>
      <c r="B122" s="139" t="s">
        <v>1066</v>
      </c>
      <c r="C122" s="588" t="s">
        <v>449</v>
      </c>
      <c r="D122" s="141" t="s">
        <v>15</v>
      </c>
      <c r="E122" s="142">
        <v>39.57</v>
      </c>
      <c r="F122" s="99">
        <v>441.09</v>
      </c>
      <c r="G122" s="98">
        <f aca="true" t="shared" si="16" ref="G122:G127">ROUND(E122*F122,2)</f>
        <v>17453.93</v>
      </c>
      <c r="H122" s="143">
        <f aca="true" t="shared" si="17" ref="H122:H128">(G122/$G$211)*100</f>
        <v>5.7449037884392355</v>
      </c>
      <c r="I122" s="594">
        <v>507.01</v>
      </c>
      <c r="J122" s="744"/>
      <c r="K122" s="744"/>
      <c r="M122" s="102"/>
    </row>
    <row r="123" spans="1:13" s="50" customFormat="1" ht="94.5">
      <c r="A123" s="88" t="s">
        <v>701</v>
      </c>
      <c r="B123" s="170" t="s">
        <v>927</v>
      </c>
      <c r="C123" s="588" t="s">
        <v>458</v>
      </c>
      <c r="D123" s="141" t="s">
        <v>21</v>
      </c>
      <c r="E123" s="142">
        <v>24</v>
      </c>
      <c r="F123" s="99">
        <v>239.88</v>
      </c>
      <c r="G123" s="98">
        <f t="shared" si="16"/>
        <v>5757.12</v>
      </c>
      <c r="H123" s="143">
        <f t="shared" si="17"/>
        <v>1.8949371573335798</v>
      </c>
      <c r="I123" s="594">
        <v>275.73</v>
      </c>
      <c r="J123" s="744"/>
      <c r="K123" s="744"/>
      <c r="M123" s="102"/>
    </row>
    <row r="124" spans="1:13" s="50" customFormat="1" ht="63">
      <c r="A124" s="88" t="s">
        <v>702</v>
      </c>
      <c r="B124" s="95" t="s">
        <v>928</v>
      </c>
      <c r="C124" s="122" t="s">
        <v>277</v>
      </c>
      <c r="D124" s="97" t="s">
        <v>15</v>
      </c>
      <c r="E124" s="112">
        <v>0.47</v>
      </c>
      <c r="F124" s="99">
        <v>310.82</v>
      </c>
      <c r="G124" s="98">
        <f t="shared" si="16"/>
        <v>146.09</v>
      </c>
      <c r="H124" s="100">
        <f t="shared" si="17"/>
        <v>0.04808504413923327</v>
      </c>
      <c r="I124" s="594">
        <v>357.27</v>
      </c>
      <c r="J124" s="744"/>
      <c r="K124" s="744"/>
      <c r="M124" s="102"/>
    </row>
    <row r="125" spans="1:16" s="50" customFormat="1" ht="47.25">
      <c r="A125" s="88" t="s">
        <v>703</v>
      </c>
      <c r="B125" s="109" t="s">
        <v>1070</v>
      </c>
      <c r="C125" s="122" t="s">
        <v>464</v>
      </c>
      <c r="D125" s="97" t="s">
        <v>15</v>
      </c>
      <c r="E125" s="112">
        <v>1.86</v>
      </c>
      <c r="F125" s="99">
        <v>39.62</v>
      </c>
      <c r="G125" s="98">
        <f t="shared" si="16"/>
        <v>73.69</v>
      </c>
      <c r="H125" s="100">
        <f t="shared" si="17"/>
        <v>0.024254821703197343</v>
      </c>
      <c r="I125" s="594">
        <v>45.55</v>
      </c>
      <c r="J125" s="744"/>
      <c r="K125" s="744"/>
      <c r="L125" s="144"/>
      <c r="M125" s="102"/>
      <c r="N125" s="144"/>
      <c r="O125" s="144"/>
      <c r="P125" s="144"/>
    </row>
    <row r="126" spans="1:13" s="50" customFormat="1" ht="47.25">
      <c r="A126" s="88" t="s">
        <v>704</v>
      </c>
      <c r="B126" s="95" t="s">
        <v>934</v>
      </c>
      <c r="C126" s="122" t="s">
        <v>387</v>
      </c>
      <c r="D126" s="97" t="s">
        <v>15</v>
      </c>
      <c r="E126" s="112">
        <v>10.97</v>
      </c>
      <c r="F126" s="99">
        <v>164.03</v>
      </c>
      <c r="G126" s="98">
        <f t="shared" si="16"/>
        <v>1799.41</v>
      </c>
      <c r="H126" s="100">
        <f t="shared" si="17"/>
        <v>0.5922698971495499</v>
      </c>
      <c r="I126" s="594">
        <v>188.55</v>
      </c>
      <c r="J126" s="744"/>
      <c r="K126" s="744"/>
      <c r="M126" s="102"/>
    </row>
    <row r="127" spans="1:13" s="50" customFormat="1" ht="15.75">
      <c r="A127" s="88" t="s">
        <v>705</v>
      </c>
      <c r="B127" s="141" t="s">
        <v>1073</v>
      </c>
      <c r="C127" s="588" t="s">
        <v>450</v>
      </c>
      <c r="D127" s="97" t="s">
        <v>15</v>
      </c>
      <c r="E127" s="112">
        <v>6.26</v>
      </c>
      <c r="F127" s="99">
        <v>481.25</v>
      </c>
      <c r="G127" s="98">
        <f t="shared" si="16"/>
        <v>3012.63</v>
      </c>
      <c r="H127" s="100">
        <f t="shared" si="17"/>
        <v>0.9915972792468912</v>
      </c>
      <c r="I127" s="594">
        <v>553.17</v>
      </c>
      <c r="J127" s="744"/>
      <c r="K127" s="744"/>
      <c r="M127" s="102"/>
    </row>
    <row r="128" spans="1:13" s="50" customFormat="1" ht="15.75">
      <c r="A128" s="103"/>
      <c r="B128" s="103"/>
      <c r="C128" s="671" t="s">
        <v>16</v>
      </c>
      <c r="D128" s="671"/>
      <c r="E128" s="671"/>
      <c r="F128" s="104"/>
      <c r="G128" s="105">
        <f>SUM(G122:G127)</f>
        <v>28242.87</v>
      </c>
      <c r="H128" s="106">
        <f t="shared" si="17"/>
        <v>9.296047988011686</v>
      </c>
      <c r="I128" s="594"/>
      <c r="J128" s="744"/>
      <c r="K128" s="744"/>
      <c r="M128" s="102"/>
    </row>
    <row r="129" spans="1:13" s="50" customFormat="1" ht="15.75">
      <c r="A129" s="149" t="s">
        <v>706</v>
      </c>
      <c r="B129" s="149"/>
      <c r="C129" s="89" t="s">
        <v>30</v>
      </c>
      <c r="D129" s="90"/>
      <c r="E129" s="130"/>
      <c r="F129" s="107"/>
      <c r="G129" s="92"/>
      <c r="H129" s="100"/>
      <c r="I129" s="594"/>
      <c r="J129" s="744"/>
      <c r="K129" s="744"/>
      <c r="M129" s="102"/>
    </row>
    <row r="130" spans="1:13" s="50" customFormat="1" ht="15.75">
      <c r="A130" s="88" t="s">
        <v>707</v>
      </c>
      <c r="B130" s="150" t="s">
        <v>940</v>
      </c>
      <c r="C130" s="151" t="s">
        <v>31</v>
      </c>
      <c r="D130" s="152" t="s">
        <v>15</v>
      </c>
      <c r="E130" s="112">
        <v>0.47</v>
      </c>
      <c r="F130" s="99">
        <v>102.05</v>
      </c>
      <c r="G130" s="98">
        <f>ROUND(E130*F130,2)</f>
        <v>47.96</v>
      </c>
      <c r="H130" s="100">
        <f>(G130/$G$211)*100</f>
        <v>0.015785876630280155</v>
      </c>
      <c r="I130" s="594">
        <v>117.3</v>
      </c>
      <c r="J130" s="744"/>
      <c r="K130" s="744"/>
      <c r="M130" s="102"/>
    </row>
    <row r="131" spans="1:13" s="50" customFormat="1" ht="15.75">
      <c r="A131" s="103"/>
      <c r="B131" s="103"/>
      <c r="C131" s="671" t="s">
        <v>16</v>
      </c>
      <c r="D131" s="671"/>
      <c r="E131" s="671"/>
      <c r="F131" s="104"/>
      <c r="G131" s="105">
        <f>SUM(G130)</f>
        <v>47.96</v>
      </c>
      <c r="H131" s="106">
        <f>(G131/$G$211)*100</f>
        <v>0.015785876630280155</v>
      </c>
      <c r="I131" s="594"/>
      <c r="J131" s="744"/>
      <c r="K131" s="744"/>
      <c r="M131" s="102"/>
    </row>
    <row r="132" spans="1:13" s="50" customFormat="1" ht="15.75">
      <c r="A132" s="123" t="s">
        <v>708</v>
      </c>
      <c r="B132" s="153"/>
      <c r="C132" s="154" t="s">
        <v>32</v>
      </c>
      <c r="D132" s="155"/>
      <c r="E132" s="155"/>
      <c r="F132" s="127"/>
      <c r="G132" s="128"/>
      <c r="H132" s="100"/>
      <c r="I132" s="594"/>
      <c r="J132" s="744"/>
      <c r="K132" s="744"/>
      <c r="M132" s="102"/>
    </row>
    <row r="133" spans="1:13" s="50" customFormat="1" ht="47.25">
      <c r="A133" s="123" t="s">
        <v>709</v>
      </c>
      <c r="B133" s="95" t="s">
        <v>853</v>
      </c>
      <c r="C133" s="119" t="s">
        <v>206</v>
      </c>
      <c r="D133" s="97" t="s">
        <v>15</v>
      </c>
      <c r="E133" s="112">
        <f>136.39+15.01</f>
        <v>151.39999999999998</v>
      </c>
      <c r="F133" s="99">
        <v>3.68</v>
      </c>
      <c r="G133" s="98">
        <f aca="true" t="shared" si="18" ref="G133:G141">ROUND(E133*F133,2)</f>
        <v>557.15</v>
      </c>
      <c r="H133" s="100">
        <f aca="true" t="shared" si="19" ref="H133:H142">(G133/$G$211)*100</f>
        <v>0.18338409434029584</v>
      </c>
      <c r="I133" s="594">
        <v>4.24</v>
      </c>
      <c r="J133" s="744"/>
      <c r="K133" s="744"/>
      <c r="M133" s="102"/>
    </row>
    <row r="134" spans="1:13" s="50" customFormat="1" ht="63">
      <c r="A134" s="123" t="s">
        <v>710</v>
      </c>
      <c r="B134" s="109" t="s">
        <v>1075</v>
      </c>
      <c r="C134" s="119" t="s">
        <v>311</v>
      </c>
      <c r="D134" s="97" t="s">
        <v>15</v>
      </c>
      <c r="E134" s="112">
        <f>136.39+15.01</f>
        <v>151.39999999999998</v>
      </c>
      <c r="F134" s="99">
        <v>33.52</v>
      </c>
      <c r="G134" s="98">
        <f t="shared" si="18"/>
        <v>5074.93</v>
      </c>
      <c r="H134" s="100">
        <f t="shared" si="19"/>
        <v>1.6703965572833126</v>
      </c>
      <c r="I134" s="594">
        <v>38.54</v>
      </c>
      <c r="J134" s="744"/>
      <c r="K134" s="744"/>
      <c r="M134" s="102"/>
    </row>
    <row r="135" spans="1:13" s="50" customFormat="1" ht="78.75">
      <c r="A135" s="123" t="s">
        <v>711</v>
      </c>
      <c r="B135" s="156" t="s">
        <v>944</v>
      </c>
      <c r="C135" s="157" t="s">
        <v>312</v>
      </c>
      <c r="D135" s="158" t="s">
        <v>15</v>
      </c>
      <c r="E135" s="159">
        <v>473.55</v>
      </c>
      <c r="F135" s="99">
        <v>17.44</v>
      </c>
      <c r="G135" s="98">
        <f t="shared" si="18"/>
        <v>8258.71</v>
      </c>
      <c r="H135" s="160">
        <f t="shared" si="19"/>
        <v>2.718327297440805</v>
      </c>
      <c r="I135" s="594">
        <v>20.05</v>
      </c>
      <c r="J135" s="744"/>
      <c r="K135" s="744"/>
      <c r="M135" s="102"/>
    </row>
    <row r="136" spans="1:13" s="50" customFormat="1" ht="78.75">
      <c r="A136" s="123" t="s">
        <v>712</v>
      </c>
      <c r="B136" s="95" t="s">
        <v>950</v>
      </c>
      <c r="C136" s="119" t="s">
        <v>556</v>
      </c>
      <c r="D136" s="97" t="s">
        <v>15</v>
      </c>
      <c r="E136" s="112">
        <v>126.29</v>
      </c>
      <c r="F136" s="99">
        <v>56.68</v>
      </c>
      <c r="G136" s="98">
        <f t="shared" si="18"/>
        <v>7158.12</v>
      </c>
      <c r="H136" s="100">
        <f t="shared" si="19"/>
        <v>2.3560717102739988</v>
      </c>
      <c r="I136" s="594">
        <v>65.15</v>
      </c>
      <c r="J136" s="744"/>
      <c r="K136" s="744"/>
      <c r="M136" s="102"/>
    </row>
    <row r="137" spans="1:13" s="50" customFormat="1" ht="15.75">
      <c r="A137" s="123" t="s">
        <v>713</v>
      </c>
      <c r="B137" s="161" t="s">
        <v>953</v>
      </c>
      <c r="C137" s="119" t="s">
        <v>465</v>
      </c>
      <c r="D137" s="97" t="s">
        <v>18</v>
      </c>
      <c r="E137" s="112">
        <v>148.6</v>
      </c>
      <c r="F137" s="99">
        <v>50.07</v>
      </c>
      <c r="G137" s="98">
        <f t="shared" si="18"/>
        <v>7440.4</v>
      </c>
      <c r="H137" s="100">
        <f t="shared" si="19"/>
        <v>2.4489832460370407</v>
      </c>
      <c r="I137" s="594">
        <v>57.56</v>
      </c>
      <c r="J137" s="745"/>
      <c r="K137" s="744"/>
      <c r="M137" s="102"/>
    </row>
    <row r="138" spans="1:13" s="50" customFormat="1" ht="63">
      <c r="A138" s="123" t="s">
        <v>714</v>
      </c>
      <c r="B138" s="95" t="s">
        <v>955</v>
      </c>
      <c r="C138" s="119" t="s">
        <v>555</v>
      </c>
      <c r="D138" s="97" t="s">
        <v>15</v>
      </c>
      <c r="E138" s="112">
        <v>138.57</v>
      </c>
      <c r="F138" s="99">
        <v>76.51</v>
      </c>
      <c r="G138" s="98">
        <f t="shared" si="18"/>
        <v>10601.99</v>
      </c>
      <c r="H138" s="100">
        <f t="shared" si="19"/>
        <v>3.4896102205059196</v>
      </c>
      <c r="I138" s="594">
        <v>87.95</v>
      </c>
      <c r="J138" s="744"/>
      <c r="K138" s="744"/>
      <c r="M138" s="102"/>
    </row>
    <row r="139" spans="1:13" s="50" customFormat="1" ht="78.75">
      <c r="A139" s="123" t="s">
        <v>715</v>
      </c>
      <c r="B139" s="109" t="s">
        <v>1078</v>
      </c>
      <c r="C139" s="119" t="s">
        <v>608</v>
      </c>
      <c r="D139" s="97" t="s">
        <v>15</v>
      </c>
      <c r="E139" s="112">
        <v>11.9</v>
      </c>
      <c r="F139" s="99">
        <v>156.76</v>
      </c>
      <c r="G139" s="98">
        <f t="shared" si="18"/>
        <v>1865.44</v>
      </c>
      <c r="H139" s="100">
        <f t="shared" si="19"/>
        <v>0.6140034549872772</v>
      </c>
      <c r="I139" s="594">
        <v>180.19</v>
      </c>
      <c r="J139" s="744"/>
      <c r="K139" s="744"/>
      <c r="M139" s="102"/>
    </row>
    <row r="140" spans="1:13" s="50" customFormat="1" ht="15.75">
      <c r="A140" s="123" t="s">
        <v>716</v>
      </c>
      <c r="B140" s="95" t="s">
        <v>960</v>
      </c>
      <c r="C140" s="96" t="s">
        <v>562</v>
      </c>
      <c r="D140" s="97" t="s">
        <v>15</v>
      </c>
      <c r="E140" s="112">
        <v>6.09</v>
      </c>
      <c r="F140" s="99">
        <v>43.38</v>
      </c>
      <c r="G140" s="98">
        <f t="shared" si="18"/>
        <v>264.18</v>
      </c>
      <c r="H140" s="100">
        <f t="shared" si="19"/>
        <v>0.08695398015403276</v>
      </c>
      <c r="I140" s="594">
        <v>49.87</v>
      </c>
      <c r="J140" s="744"/>
      <c r="K140" s="744"/>
      <c r="M140" s="102"/>
    </row>
    <row r="141" spans="1:13" s="50" customFormat="1" ht="78.75">
      <c r="A141" s="652" t="s">
        <v>717</v>
      </c>
      <c r="B141" s="653" t="s">
        <v>1080</v>
      </c>
      <c r="C141" s="645" t="s">
        <v>33</v>
      </c>
      <c r="D141" s="630" t="s">
        <v>15</v>
      </c>
      <c r="E141" s="654">
        <v>42.75</v>
      </c>
      <c r="F141" s="647">
        <v>133.16</v>
      </c>
      <c r="G141" s="648">
        <f t="shared" si="18"/>
        <v>5692.59</v>
      </c>
      <c r="H141" s="649">
        <f t="shared" si="19"/>
        <v>1.8736973195739475</v>
      </c>
      <c r="I141" s="594">
        <v>153.06</v>
      </c>
      <c r="J141" s="744"/>
      <c r="K141" s="744"/>
      <c r="M141" s="102"/>
    </row>
    <row r="142" spans="1:13" s="50" customFormat="1" ht="15.75">
      <c r="A142" s="103"/>
      <c r="B142" s="103"/>
      <c r="C142" s="671" t="s">
        <v>16</v>
      </c>
      <c r="D142" s="671"/>
      <c r="E142" s="671"/>
      <c r="F142" s="104"/>
      <c r="G142" s="105">
        <f>SUM(G133:G141)</f>
        <v>46913.509999999995</v>
      </c>
      <c r="H142" s="106">
        <f t="shared" si="19"/>
        <v>15.441427880596628</v>
      </c>
      <c r="I142" s="594"/>
      <c r="J142" s="744"/>
      <c r="K142" s="744"/>
      <c r="M142" s="102"/>
    </row>
    <row r="143" spans="1:13" s="50" customFormat="1" ht="15.75">
      <c r="A143" s="88" t="s">
        <v>718</v>
      </c>
      <c r="B143" s="109"/>
      <c r="C143" s="162" t="s">
        <v>34</v>
      </c>
      <c r="D143" s="97"/>
      <c r="E143" s="148"/>
      <c r="F143" s="107"/>
      <c r="G143" s="92"/>
      <c r="H143" s="100"/>
      <c r="I143" s="594"/>
      <c r="J143" s="744"/>
      <c r="K143" s="744"/>
      <c r="M143" s="102"/>
    </row>
    <row r="144" spans="1:13" s="50" customFormat="1" ht="15.75">
      <c r="A144" s="88"/>
      <c r="B144" s="109"/>
      <c r="C144" s="163" t="s">
        <v>239</v>
      </c>
      <c r="D144" s="97"/>
      <c r="E144" s="148"/>
      <c r="F144" s="107"/>
      <c r="G144" s="92"/>
      <c r="H144" s="100"/>
      <c r="I144" s="595"/>
      <c r="J144" s="744"/>
      <c r="K144" s="744"/>
      <c r="M144" s="102"/>
    </row>
    <row r="145" spans="1:13" s="50" customFormat="1" ht="75">
      <c r="A145" s="88" t="s">
        <v>719</v>
      </c>
      <c r="B145" s="164" t="s">
        <v>1082</v>
      </c>
      <c r="C145" s="312" t="s">
        <v>772</v>
      </c>
      <c r="D145" s="165" t="s">
        <v>15</v>
      </c>
      <c r="E145" s="129">
        <v>245.57</v>
      </c>
      <c r="F145" s="99">
        <v>79.26</v>
      </c>
      <c r="G145" s="98">
        <f>ROUND(E145*F145,2)</f>
        <v>19463.88</v>
      </c>
      <c r="H145" s="100">
        <f>(G145/$G$211)*100</f>
        <v>6.406472235750154</v>
      </c>
      <c r="I145" s="594">
        <v>91.11</v>
      </c>
      <c r="J145" s="744"/>
      <c r="K145" s="744"/>
      <c r="M145" s="102"/>
    </row>
    <row r="146" spans="1:13" s="50" customFormat="1" ht="47.25">
      <c r="A146" s="88" t="s">
        <v>720</v>
      </c>
      <c r="B146" s="166" t="s">
        <v>976</v>
      </c>
      <c r="C146" s="167" t="s">
        <v>299</v>
      </c>
      <c r="D146" s="168" t="s">
        <v>15</v>
      </c>
      <c r="E146" s="159">
        <v>15.82</v>
      </c>
      <c r="F146" s="99">
        <v>107.81</v>
      </c>
      <c r="G146" s="98">
        <f>ROUND(E146*F146,2)</f>
        <v>1705.55</v>
      </c>
      <c r="H146" s="100">
        <f>(G146/$G$211)*100</f>
        <v>0.561376186129573</v>
      </c>
      <c r="I146" s="594">
        <v>123.92</v>
      </c>
      <c r="J146" s="744"/>
      <c r="K146" s="744"/>
      <c r="M146" s="102"/>
    </row>
    <row r="147" spans="1:13" s="50" customFormat="1" ht="15.75">
      <c r="A147" s="88"/>
      <c r="B147" s="95"/>
      <c r="C147" s="169" t="s">
        <v>240</v>
      </c>
      <c r="D147" s="97"/>
      <c r="E147" s="112"/>
      <c r="F147" s="99"/>
      <c r="G147" s="112"/>
      <c r="H147" s="100"/>
      <c r="I147" s="594"/>
      <c r="J147" s="744"/>
      <c r="K147" s="744"/>
      <c r="M147" s="102"/>
    </row>
    <row r="148" spans="1:13" s="643" customFormat="1" ht="47.25">
      <c r="A148" s="634" t="s">
        <v>721</v>
      </c>
      <c r="B148" s="635" t="s">
        <v>1271</v>
      </c>
      <c r="C148" s="636" t="s">
        <v>315</v>
      </c>
      <c r="D148" s="607" t="s">
        <v>19</v>
      </c>
      <c r="E148" s="637">
        <v>10.39</v>
      </c>
      <c r="F148" s="638">
        <v>1024.52</v>
      </c>
      <c r="G148" s="639">
        <f aca="true" t="shared" si="20" ref="G148:G157">ROUND(E148*F148,2)</f>
        <v>10644.76</v>
      </c>
      <c r="H148" s="640">
        <f aca="true" t="shared" si="21" ref="H148:H158">(G148/$G$211)*100</f>
        <v>3.5036878256659922</v>
      </c>
      <c r="I148" s="641">
        <v>1177.61</v>
      </c>
      <c r="J148" s="748"/>
      <c r="K148" s="748"/>
      <c r="M148" s="642"/>
    </row>
    <row r="149" spans="1:13" s="50" customFormat="1" ht="47.25">
      <c r="A149" s="88" t="s">
        <v>722</v>
      </c>
      <c r="B149" s="95" t="s">
        <v>986</v>
      </c>
      <c r="C149" s="122" t="s">
        <v>322</v>
      </c>
      <c r="D149" s="97" t="s">
        <v>18</v>
      </c>
      <c r="E149" s="112">
        <v>23.94</v>
      </c>
      <c r="F149" s="99">
        <v>39.94</v>
      </c>
      <c r="G149" s="98">
        <f t="shared" si="20"/>
        <v>956.16</v>
      </c>
      <c r="H149" s="100">
        <f t="shared" si="21"/>
        <v>0.3147169265806646</v>
      </c>
      <c r="I149" s="594">
        <v>45.91</v>
      </c>
      <c r="J149" s="744"/>
      <c r="K149" s="744"/>
      <c r="M149" s="102"/>
    </row>
    <row r="150" spans="1:13" s="50" customFormat="1" ht="63">
      <c r="A150" s="88" t="s">
        <v>723</v>
      </c>
      <c r="B150" s="95" t="s">
        <v>997</v>
      </c>
      <c r="C150" s="122" t="s">
        <v>35</v>
      </c>
      <c r="D150" s="97" t="s">
        <v>15</v>
      </c>
      <c r="E150" s="112">
        <v>7.25</v>
      </c>
      <c r="F150" s="99">
        <v>130.36</v>
      </c>
      <c r="G150" s="98">
        <f t="shared" si="20"/>
        <v>945.11</v>
      </c>
      <c r="H150" s="100">
        <f t="shared" si="21"/>
        <v>0.31107985533870053</v>
      </c>
      <c r="I150" s="594">
        <v>149.84</v>
      </c>
      <c r="J150" s="744"/>
      <c r="K150" s="744"/>
      <c r="M150" s="102"/>
    </row>
    <row r="151" spans="1:13" s="50" customFormat="1" ht="63">
      <c r="A151" s="88" t="s">
        <v>724</v>
      </c>
      <c r="B151" s="95" t="s">
        <v>998</v>
      </c>
      <c r="C151" s="122" t="s">
        <v>337</v>
      </c>
      <c r="D151" s="97" t="s">
        <v>15</v>
      </c>
      <c r="E151" s="112">
        <v>13.22</v>
      </c>
      <c r="F151" s="99">
        <v>130.36</v>
      </c>
      <c r="G151" s="98">
        <f t="shared" si="20"/>
        <v>1723.36</v>
      </c>
      <c r="H151" s="100">
        <f t="shared" si="21"/>
        <v>0.5672382891901503</v>
      </c>
      <c r="I151" s="594">
        <v>149.84</v>
      </c>
      <c r="J151" s="744"/>
      <c r="K151" s="744"/>
      <c r="M151" s="102"/>
    </row>
    <row r="152" spans="1:13" s="50" customFormat="1" ht="47.25">
      <c r="A152" s="88" t="s">
        <v>725</v>
      </c>
      <c r="B152" s="109" t="s">
        <v>1083</v>
      </c>
      <c r="C152" s="122" t="s">
        <v>596</v>
      </c>
      <c r="D152" s="97" t="s">
        <v>19</v>
      </c>
      <c r="E152" s="112">
        <v>2.47</v>
      </c>
      <c r="F152" s="99">
        <v>473.94</v>
      </c>
      <c r="G152" s="98">
        <f t="shared" si="20"/>
        <v>1170.63</v>
      </c>
      <c r="H152" s="100">
        <f t="shared" si="21"/>
        <v>0.38530902334664013</v>
      </c>
      <c r="I152" s="594">
        <v>544.76</v>
      </c>
      <c r="J152" s="744"/>
      <c r="K152" s="744"/>
      <c r="M152" s="102"/>
    </row>
    <row r="153" spans="1:16" s="144" customFormat="1" ht="47.25">
      <c r="A153" s="88" t="s">
        <v>726</v>
      </c>
      <c r="B153" s="170" t="s">
        <v>316</v>
      </c>
      <c r="C153" s="171" t="s">
        <v>317</v>
      </c>
      <c r="D153" s="141" t="s">
        <v>15</v>
      </c>
      <c r="E153" s="142">
        <v>24.22</v>
      </c>
      <c r="F153" s="99">
        <v>19.9</v>
      </c>
      <c r="G153" s="98">
        <f t="shared" si="20"/>
        <v>481.98</v>
      </c>
      <c r="H153" s="143">
        <f t="shared" si="21"/>
        <v>0.15864213549337844</v>
      </c>
      <c r="I153" s="594">
        <v>22.88</v>
      </c>
      <c r="J153" s="744"/>
      <c r="K153" s="744"/>
      <c r="L153" s="50"/>
      <c r="M153" s="102"/>
      <c r="N153" s="50"/>
      <c r="O153" s="50"/>
      <c r="P153" s="50"/>
    </row>
    <row r="154" spans="1:13" s="50" customFormat="1" ht="78.75">
      <c r="A154" s="88" t="s">
        <v>727</v>
      </c>
      <c r="B154" s="118" t="s">
        <v>841</v>
      </c>
      <c r="C154" s="119" t="s">
        <v>467</v>
      </c>
      <c r="D154" s="120" t="s">
        <v>19</v>
      </c>
      <c r="E154" s="112">
        <v>0.38</v>
      </c>
      <c r="F154" s="99">
        <v>2047.26</v>
      </c>
      <c r="G154" s="98">
        <f t="shared" si="20"/>
        <v>777.96</v>
      </c>
      <c r="H154" s="100">
        <f t="shared" si="21"/>
        <v>0.25606298130301813</v>
      </c>
      <c r="I154" s="594">
        <v>2353.18</v>
      </c>
      <c r="J154" s="744"/>
      <c r="K154" s="744"/>
      <c r="M154" s="102"/>
    </row>
    <row r="155" spans="1:13" s="50" customFormat="1" ht="47.25">
      <c r="A155" s="88" t="s">
        <v>728</v>
      </c>
      <c r="B155" s="95" t="s">
        <v>1001</v>
      </c>
      <c r="C155" s="122" t="s">
        <v>468</v>
      </c>
      <c r="D155" s="97" t="s">
        <v>19</v>
      </c>
      <c r="E155" s="112">
        <v>0.13</v>
      </c>
      <c r="F155" s="99">
        <v>2424.15</v>
      </c>
      <c r="G155" s="98">
        <f t="shared" si="20"/>
        <v>315.14</v>
      </c>
      <c r="H155" s="100">
        <f t="shared" si="21"/>
        <v>0.10372729694050226</v>
      </c>
      <c r="I155" s="594">
        <v>2786.38</v>
      </c>
      <c r="J155" s="744"/>
      <c r="K155" s="744"/>
      <c r="M155" s="102"/>
    </row>
    <row r="156" spans="1:13" s="50" customFormat="1" ht="31.5">
      <c r="A156" s="88" t="s">
        <v>729</v>
      </c>
      <c r="B156" s="95" t="s">
        <v>1006</v>
      </c>
      <c r="C156" s="122" t="s">
        <v>336</v>
      </c>
      <c r="D156" s="97" t="s">
        <v>19</v>
      </c>
      <c r="E156" s="112">
        <v>5.38</v>
      </c>
      <c r="F156" s="99">
        <v>115.07</v>
      </c>
      <c r="G156" s="98">
        <f t="shared" si="20"/>
        <v>619.08</v>
      </c>
      <c r="H156" s="100">
        <f t="shared" si="21"/>
        <v>0.20376815063123102</v>
      </c>
      <c r="I156" s="594">
        <v>132.27</v>
      </c>
      <c r="J156" s="744"/>
      <c r="K156" s="744"/>
      <c r="M156" s="102"/>
    </row>
    <row r="157" spans="1:13" s="50" customFormat="1" ht="63">
      <c r="A157" s="88" t="s">
        <v>730</v>
      </c>
      <c r="B157" s="95" t="s">
        <v>1007</v>
      </c>
      <c r="C157" s="122" t="s">
        <v>330</v>
      </c>
      <c r="D157" s="148" t="s">
        <v>15</v>
      </c>
      <c r="E157" s="112">
        <v>26.92</v>
      </c>
      <c r="F157" s="99">
        <v>9.57</v>
      </c>
      <c r="G157" s="98">
        <f t="shared" si="20"/>
        <v>257.62</v>
      </c>
      <c r="H157" s="100">
        <f t="shared" si="21"/>
        <v>0.08479477767916542</v>
      </c>
      <c r="I157" s="594">
        <v>11</v>
      </c>
      <c r="J157" s="744"/>
      <c r="K157" s="744"/>
      <c r="M157" s="102"/>
    </row>
    <row r="158" spans="1:13" s="50" customFormat="1" ht="15.75">
      <c r="A158" s="103"/>
      <c r="B158" s="103"/>
      <c r="C158" s="671" t="s">
        <v>16</v>
      </c>
      <c r="D158" s="671"/>
      <c r="E158" s="671"/>
      <c r="F158" s="104"/>
      <c r="G158" s="105">
        <f>SUM(G145:G157)</f>
        <v>39061.23000000001</v>
      </c>
      <c r="H158" s="106">
        <f t="shared" si="21"/>
        <v>12.856875684049172</v>
      </c>
      <c r="I158" s="594"/>
      <c r="J158" s="744"/>
      <c r="K158" s="744"/>
      <c r="M158" s="102"/>
    </row>
    <row r="159" spans="1:13" s="50" customFormat="1" ht="15.75">
      <c r="A159" s="88" t="s">
        <v>731</v>
      </c>
      <c r="B159" s="95"/>
      <c r="C159" s="173" t="s">
        <v>300</v>
      </c>
      <c r="D159" s="97"/>
      <c r="E159" s="148"/>
      <c r="F159" s="107"/>
      <c r="G159" s="92"/>
      <c r="H159" s="100"/>
      <c r="I159" s="594"/>
      <c r="J159" s="744"/>
      <c r="K159" s="744"/>
      <c r="M159" s="102"/>
    </row>
    <row r="160" spans="1:13" s="50" customFormat="1" ht="78.75">
      <c r="A160" s="88" t="s">
        <v>732</v>
      </c>
      <c r="B160" s="95" t="s">
        <v>1008</v>
      </c>
      <c r="C160" s="122" t="s">
        <v>214</v>
      </c>
      <c r="D160" s="97" t="s">
        <v>18</v>
      </c>
      <c r="E160" s="112">
        <v>295.48</v>
      </c>
      <c r="F160" s="99">
        <v>21.92</v>
      </c>
      <c r="G160" s="98">
        <f aca="true" t="shared" si="22" ref="G160:G165">ROUND(E160*F160,2)</f>
        <v>6476.92</v>
      </c>
      <c r="H160" s="100">
        <f aca="true" t="shared" si="23" ref="H160:H166">(G160/$G$211)*100</f>
        <v>2.131856965475274</v>
      </c>
      <c r="I160" s="594">
        <v>25.2</v>
      </c>
      <c r="J160" s="744"/>
      <c r="K160" s="744"/>
      <c r="M160" s="102"/>
    </row>
    <row r="161" spans="1:13" s="50" customFormat="1" ht="15.75">
      <c r="A161" s="565" t="s">
        <v>733</v>
      </c>
      <c r="B161" s="622" t="s">
        <v>1008</v>
      </c>
      <c r="C161" s="171" t="s">
        <v>598</v>
      </c>
      <c r="D161" s="141" t="s">
        <v>597</v>
      </c>
      <c r="E161" s="142">
        <v>9</v>
      </c>
      <c r="F161" s="99">
        <v>21.92</v>
      </c>
      <c r="G161" s="98">
        <f t="shared" si="22"/>
        <v>197.28</v>
      </c>
      <c r="H161" s="143">
        <f t="shared" si="23"/>
        <v>0.06493406467101061</v>
      </c>
      <c r="I161" s="594">
        <v>25.2</v>
      </c>
      <c r="J161" s="744"/>
      <c r="K161" s="744"/>
      <c r="M161" s="102"/>
    </row>
    <row r="162" spans="1:13" s="50" customFormat="1" ht="47.25">
      <c r="A162" s="88" t="s">
        <v>734</v>
      </c>
      <c r="B162" s="174" t="s">
        <v>1086</v>
      </c>
      <c r="C162" s="175" t="s">
        <v>599</v>
      </c>
      <c r="D162" s="165" t="s">
        <v>597</v>
      </c>
      <c r="E162" s="112">
        <v>15.2</v>
      </c>
      <c r="F162" s="99">
        <v>20.51</v>
      </c>
      <c r="G162" s="98">
        <f t="shared" si="22"/>
        <v>311.75</v>
      </c>
      <c r="H162" s="100">
        <f t="shared" si="23"/>
        <v>0.1026114895640083</v>
      </c>
      <c r="I162" s="594">
        <v>23.58</v>
      </c>
      <c r="J162" s="744"/>
      <c r="K162" s="744"/>
      <c r="M162" s="102"/>
    </row>
    <row r="163" spans="1:13" s="50" customFormat="1" ht="63">
      <c r="A163" s="88" t="s">
        <v>735</v>
      </c>
      <c r="B163" s="95" t="s">
        <v>1011</v>
      </c>
      <c r="C163" s="122" t="s">
        <v>215</v>
      </c>
      <c r="D163" s="97" t="s">
        <v>18</v>
      </c>
      <c r="E163" s="112">
        <v>48.15</v>
      </c>
      <c r="F163" s="99">
        <v>52.63</v>
      </c>
      <c r="G163" s="98">
        <f t="shared" si="22"/>
        <v>2534.13</v>
      </c>
      <c r="H163" s="100">
        <f t="shared" si="23"/>
        <v>0.8341005743346924</v>
      </c>
      <c r="I163" s="594">
        <v>60.5</v>
      </c>
      <c r="J163" s="744"/>
      <c r="K163" s="744"/>
      <c r="M163" s="102"/>
    </row>
    <row r="164" spans="1:13" s="50" customFormat="1" ht="63">
      <c r="A164" s="88" t="s">
        <v>736</v>
      </c>
      <c r="B164" s="95" t="s">
        <v>1012</v>
      </c>
      <c r="C164" s="122" t="s">
        <v>459</v>
      </c>
      <c r="D164" s="97" t="s">
        <v>18</v>
      </c>
      <c r="E164" s="112">
        <v>3.39</v>
      </c>
      <c r="F164" s="99">
        <v>43.21</v>
      </c>
      <c r="G164" s="98">
        <f t="shared" si="22"/>
        <v>146.48</v>
      </c>
      <c r="H164" s="100">
        <f t="shared" si="23"/>
        <v>0.04821341135953788</v>
      </c>
      <c r="I164" s="594">
        <v>49.67</v>
      </c>
      <c r="J164" s="744"/>
      <c r="K164" s="744"/>
      <c r="M164" s="102"/>
    </row>
    <row r="165" spans="1:13" s="50" customFormat="1" ht="78.75">
      <c r="A165" s="88" t="s">
        <v>737</v>
      </c>
      <c r="B165" s="96" t="s">
        <v>1087</v>
      </c>
      <c r="C165" s="122" t="s">
        <v>425</v>
      </c>
      <c r="D165" s="97" t="s">
        <v>18</v>
      </c>
      <c r="E165" s="112">
        <v>1.2</v>
      </c>
      <c r="F165" s="99">
        <v>29.84</v>
      </c>
      <c r="G165" s="98">
        <f t="shared" si="22"/>
        <v>35.81</v>
      </c>
      <c r="H165" s="100">
        <f t="shared" si="23"/>
        <v>0.011786743997713353</v>
      </c>
      <c r="I165" s="594">
        <v>34.3</v>
      </c>
      <c r="J165" s="744"/>
      <c r="K165" s="744"/>
      <c r="M165" s="102"/>
    </row>
    <row r="166" spans="1:13" s="50" customFormat="1" ht="15.75">
      <c r="A166" s="103"/>
      <c r="B166" s="103"/>
      <c r="C166" s="671" t="s">
        <v>16</v>
      </c>
      <c r="D166" s="671"/>
      <c r="E166" s="671"/>
      <c r="F166" s="176"/>
      <c r="G166" s="177">
        <f>SUM(G160:G165)</f>
        <v>9702.369999999999</v>
      </c>
      <c r="H166" s="106">
        <f t="shared" si="23"/>
        <v>3.193503249402236</v>
      </c>
      <c r="I166" s="594"/>
      <c r="J166" s="744"/>
      <c r="K166" s="744"/>
      <c r="M166" s="102"/>
    </row>
    <row r="167" spans="1:13" s="50" customFormat="1" ht="15.75">
      <c r="A167" s="88" t="s">
        <v>738</v>
      </c>
      <c r="B167" s="95"/>
      <c r="C167" s="173" t="s">
        <v>37</v>
      </c>
      <c r="D167" s="97"/>
      <c r="E167" s="148"/>
      <c r="F167" s="107"/>
      <c r="G167" s="92"/>
      <c r="H167" s="100"/>
      <c r="I167" s="594"/>
      <c r="J167" s="744"/>
      <c r="K167" s="744"/>
      <c r="M167" s="102"/>
    </row>
    <row r="168" spans="1:13" s="50" customFormat="1" ht="15.75">
      <c r="A168" s="88"/>
      <c r="B168" s="95"/>
      <c r="C168" s="178" t="s">
        <v>338</v>
      </c>
      <c r="D168" s="97"/>
      <c r="E168" s="148"/>
      <c r="F168" s="107"/>
      <c r="G168" s="92"/>
      <c r="H168" s="100"/>
      <c r="I168" s="594"/>
      <c r="J168" s="744"/>
      <c r="K168" s="744"/>
      <c r="M168" s="102"/>
    </row>
    <row r="169" spans="1:13" s="50" customFormat="1" ht="31.5">
      <c r="A169" s="88" t="s">
        <v>739</v>
      </c>
      <c r="B169" s="95" t="s">
        <v>1015</v>
      </c>
      <c r="C169" s="122" t="s">
        <v>38</v>
      </c>
      <c r="D169" s="97" t="s">
        <v>15</v>
      </c>
      <c r="E169" s="142">
        <v>520.11</v>
      </c>
      <c r="F169" s="99">
        <v>6.68</v>
      </c>
      <c r="G169" s="98">
        <f>ROUND(E169*F169,2)</f>
        <v>3474.33</v>
      </c>
      <c r="H169" s="100">
        <f>(G169/$G$211)*100</f>
        <v>1.1435643192844296</v>
      </c>
      <c r="I169" s="594">
        <v>7.68</v>
      </c>
      <c r="J169" s="744"/>
      <c r="K169" s="744"/>
      <c r="M169" s="102"/>
    </row>
    <row r="170" spans="1:16" s="50" customFormat="1" ht="15.75">
      <c r="A170" s="179"/>
      <c r="B170" s="95"/>
      <c r="C170" s="180" t="s">
        <v>340</v>
      </c>
      <c r="D170" s="97"/>
      <c r="E170" s="112"/>
      <c r="F170" s="172"/>
      <c r="G170" s="112"/>
      <c r="H170" s="100"/>
      <c r="I170" s="594"/>
      <c r="J170" s="744"/>
      <c r="K170" s="744"/>
      <c r="L170" s="144"/>
      <c r="M170" s="102"/>
      <c r="N170" s="144"/>
      <c r="O170" s="144"/>
      <c r="P170" s="144"/>
    </row>
    <row r="171" spans="1:13" s="50" customFormat="1" ht="63">
      <c r="A171" s="88" t="s">
        <v>740</v>
      </c>
      <c r="B171" s="95" t="s">
        <v>1016</v>
      </c>
      <c r="C171" s="96" t="s">
        <v>359</v>
      </c>
      <c r="D171" s="97" t="s">
        <v>15</v>
      </c>
      <c r="E171" s="142">
        <v>493.98</v>
      </c>
      <c r="F171" s="99">
        <v>36.7</v>
      </c>
      <c r="G171" s="98">
        <f>ROUND(E171*F171,2)</f>
        <v>18129.07</v>
      </c>
      <c r="H171" s="100">
        <f>(G171/$G$211)*100</f>
        <v>5.967123904122458</v>
      </c>
      <c r="I171" s="594">
        <v>42.19</v>
      </c>
      <c r="J171" s="744"/>
      <c r="K171" s="744"/>
      <c r="M171" s="102"/>
    </row>
    <row r="172" spans="1:13" s="50" customFormat="1" ht="31.5">
      <c r="A172" s="88" t="s">
        <v>741</v>
      </c>
      <c r="B172" s="95" t="s">
        <v>870</v>
      </c>
      <c r="C172" s="96" t="s">
        <v>343</v>
      </c>
      <c r="D172" s="97" t="s">
        <v>15</v>
      </c>
      <c r="E172" s="142">
        <v>114.9</v>
      </c>
      <c r="F172" s="99">
        <v>2.68</v>
      </c>
      <c r="G172" s="98">
        <f>ROUND(E172*F172,2)</f>
        <v>307.93</v>
      </c>
      <c r="H172" s="100">
        <f>(G172/$G$211)*100</f>
        <v>0.10135414909846056</v>
      </c>
      <c r="I172" s="594">
        <v>3.09</v>
      </c>
      <c r="J172" s="744"/>
      <c r="K172" s="744"/>
      <c r="M172" s="102"/>
    </row>
    <row r="173" spans="1:13" s="50" customFormat="1" ht="31.5">
      <c r="A173" s="88" t="s">
        <v>742</v>
      </c>
      <c r="B173" s="95" t="s">
        <v>1018</v>
      </c>
      <c r="C173" s="96" t="s">
        <v>349</v>
      </c>
      <c r="D173" s="97" t="s">
        <v>15</v>
      </c>
      <c r="E173" s="142">
        <v>114.9</v>
      </c>
      <c r="F173" s="99">
        <v>28.37</v>
      </c>
      <c r="G173" s="98">
        <f>ROUND(E173*F173,2)</f>
        <v>3259.71</v>
      </c>
      <c r="H173" s="100">
        <f>(G173/$G$211)*100</f>
        <v>1.0729228505106447</v>
      </c>
      <c r="I173" s="594">
        <v>32.61</v>
      </c>
      <c r="J173" s="744"/>
      <c r="K173" s="744"/>
      <c r="M173" s="102"/>
    </row>
    <row r="174" spans="1:13" s="50" customFormat="1" ht="31.5">
      <c r="A174" s="88" t="s">
        <v>743</v>
      </c>
      <c r="B174" s="95" t="s">
        <v>1021</v>
      </c>
      <c r="C174" s="96" t="s">
        <v>347</v>
      </c>
      <c r="D174" s="97" t="s">
        <v>15</v>
      </c>
      <c r="E174" s="142">
        <v>114.9</v>
      </c>
      <c r="F174" s="99">
        <v>13.42</v>
      </c>
      <c r="G174" s="98">
        <f>ROUND(E174*F174,2)</f>
        <v>1541.96</v>
      </c>
      <c r="H174" s="100">
        <f>(G174/$G$211)*100</f>
        <v>0.5075310744125686</v>
      </c>
      <c r="I174" s="594">
        <v>15.43</v>
      </c>
      <c r="J174" s="744"/>
      <c r="K174" s="744"/>
      <c r="M174" s="102"/>
    </row>
    <row r="175" spans="1:13" s="50" customFormat="1" ht="15.75">
      <c r="A175" s="88"/>
      <c r="B175" s="95"/>
      <c r="C175" s="180"/>
      <c r="D175" s="97"/>
      <c r="E175" s="112"/>
      <c r="F175" s="172"/>
      <c r="G175" s="112"/>
      <c r="H175" s="100"/>
      <c r="I175" s="594"/>
      <c r="J175" s="744"/>
      <c r="K175" s="744"/>
      <c r="M175" s="102"/>
    </row>
    <row r="176" spans="1:13" s="50" customFormat="1" ht="15.75">
      <c r="A176" s="88"/>
      <c r="B176" s="95"/>
      <c r="C176" s="180" t="s">
        <v>341</v>
      </c>
      <c r="D176" s="97"/>
      <c r="E176" s="112"/>
      <c r="F176" s="172"/>
      <c r="G176" s="112"/>
      <c r="H176" s="100"/>
      <c r="I176" s="594"/>
      <c r="J176" s="744"/>
      <c r="K176" s="744"/>
      <c r="M176" s="102"/>
    </row>
    <row r="177" spans="1:13" s="50" customFormat="1" ht="31.5">
      <c r="A177" s="88" t="s">
        <v>744</v>
      </c>
      <c r="B177" s="95" t="s">
        <v>1022</v>
      </c>
      <c r="C177" s="96" t="s">
        <v>345</v>
      </c>
      <c r="D177" s="97" t="s">
        <v>15</v>
      </c>
      <c r="E177" s="112">
        <v>337.3</v>
      </c>
      <c r="F177" s="99">
        <v>3.68</v>
      </c>
      <c r="G177" s="98">
        <f>ROUND(E177*F177,2)</f>
        <v>1241.26</v>
      </c>
      <c r="H177" s="100">
        <f>(G177/$G$211)*100</f>
        <v>0.4085566560905243</v>
      </c>
      <c r="I177" s="594">
        <v>4.24</v>
      </c>
      <c r="J177" s="744"/>
      <c r="K177" s="744"/>
      <c r="M177" s="102"/>
    </row>
    <row r="178" spans="1:13" s="50" customFormat="1" ht="31.5">
      <c r="A178" s="88" t="s">
        <v>745</v>
      </c>
      <c r="B178" s="95" t="s">
        <v>1024</v>
      </c>
      <c r="C178" s="96" t="s">
        <v>350</v>
      </c>
      <c r="D178" s="97" t="s">
        <v>15</v>
      </c>
      <c r="E178" s="112">
        <v>337.3</v>
      </c>
      <c r="F178" s="99">
        <v>21.92</v>
      </c>
      <c r="G178" s="98">
        <f>ROUND(E178*F178,2)</f>
        <v>7393.62</v>
      </c>
      <c r="H178" s="100">
        <f>(G178/$G$211)*100</f>
        <v>2.4335857625348614</v>
      </c>
      <c r="I178" s="594">
        <v>25.2</v>
      </c>
      <c r="J178" s="744"/>
      <c r="K178" s="744"/>
      <c r="M178" s="102"/>
    </row>
    <row r="179" spans="1:13" s="50" customFormat="1" ht="31.5">
      <c r="A179" s="88" t="s">
        <v>746</v>
      </c>
      <c r="B179" s="95" t="s">
        <v>1026</v>
      </c>
      <c r="C179" s="96" t="s">
        <v>39</v>
      </c>
      <c r="D179" s="97" t="s">
        <v>15</v>
      </c>
      <c r="E179" s="112">
        <v>337.3</v>
      </c>
      <c r="F179" s="99">
        <v>11.91</v>
      </c>
      <c r="G179" s="98">
        <f>ROUND(E179*F179,2)</f>
        <v>4017.24</v>
      </c>
      <c r="H179" s="100">
        <f>(G179/$G$211)*100</f>
        <v>1.3222613643500134</v>
      </c>
      <c r="I179" s="594">
        <v>13.69</v>
      </c>
      <c r="J179" s="744"/>
      <c r="K179" s="744"/>
      <c r="M179" s="102"/>
    </row>
    <row r="180" spans="1:13" s="50" customFormat="1" ht="15.75">
      <c r="A180" s="179"/>
      <c r="B180" s="95"/>
      <c r="C180" s="179"/>
      <c r="D180" s="97"/>
      <c r="E180" s="112"/>
      <c r="F180" s="172"/>
      <c r="G180" s="112"/>
      <c r="H180" s="100"/>
      <c r="I180" s="594"/>
      <c r="J180" s="744"/>
      <c r="K180" s="744"/>
      <c r="M180" s="102"/>
    </row>
    <row r="181" spans="1:13" s="50" customFormat="1" ht="15.75">
      <c r="A181" s="88"/>
      <c r="B181" s="95"/>
      <c r="C181" s="178" t="s">
        <v>339</v>
      </c>
      <c r="D181" s="97"/>
      <c r="E181" s="112"/>
      <c r="F181" s="113"/>
      <c r="G181" s="112"/>
      <c r="H181" s="100"/>
      <c r="I181" s="594"/>
      <c r="J181" s="744"/>
      <c r="K181" s="744"/>
      <c r="M181" s="102"/>
    </row>
    <row r="182" spans="1:13" s="50" customFormat="1" ht="31.5">
      <c r="A182" s="88" t="s">
        <v>747</v>
      </c>
      <c r="B182" s="95" t="s">
        <v>870</v>
      </c>
      <c r="C182" s="96" t="s">
        <v>343</v>
      </c>
      <c r="D182" s="97" t="s">
        <v>15</v>
      </c>
      <c r="E182" s="142">
        <v>764.86</v>
      </c>
      <c r="F182" s="99">
        <v>2.68</v>
      </c>
      <c r="G182" s="98">
        <f>ROUND(E182*F182,2)</f>
        <v>2049.82</v>
      </c>
      <c r="H182" s="100">
        <f>(G182/$G$211)*100</f>
        <v>0.6746915269866737</v>
      </c>
      <c r="I182" s="594">
        <v>3.09</v>
      </c>
      <c r="J182" s="745"/>
      <c r="K182" s="744"/>
      <c r="M182" s="102"/>
    </row>
    <row r="183" spans="1:13" s="50" customFormat="1" ht="31.5">
      <c r="A183" s="88" t="s">
        <v>748</v>
      </c>
      <c r="B183" s="95" t="s">
        <v>872</v>
      </c>
      <c r="C183" s="122" t="s">
        <v>40</v>
      </c>
      <c r="D183" s="97" t="s">
        <v>15</v>
      </c>
      <c r="E183" s="112">
        <v>836.34</v>
      </c>
      <c r="F183" s="99">
        <v>15.98</v>
      </c>
      <c r="G183" s="98">
        <f>ROUND(E183*F183,2)</f>
        <v>13364.71</v>
      </c>
      <c r="H183" s="100">
        <f>(G183/$G$211)*100</f>
        <v>4.3989504432750515</v>
      </c>
      <c r="I183" s="594">
        <v>18.37</v>
      </c>
      <c r="J183" s="744"/>
      <c r="K183" s="744"/>
      <c r="M183" s="102"/>
    </row>
    <row r="184" spans="1:13" s="50" customFormat="1" ht="47.25">
      <c r="A184" s="88" t="s">
        <v>749</v>
      </c>
      <c r="B184" s="95" t="s">
        <v>1028</v>
      </c>
      <c r="C184" s="122" t="s">
        <v>354</v>
      </c>
      <c r="D184" s="97" t="s">
        <v>15</v>
      </c>
      <c r="E184" s="112">
        <v>61.8</v>
      </c>
      <c r="F184" s="99">
        <v>21.54</v>
      </c>
      <c r="G184" s="98">
        <f>ROUND(E184*F184,2)</f>
        <v>1331.17</v>
      </c>
      <c r="H184" s="100">
        <f>(G184/$G$211)*100</f>
        <v>0.4381502375715187</v>
      </c>
      <c r="I184" s="594">
        <v>24.76</v>
      </c>
      <c r="J184" s="744"/>
      <c r="K184" s="744"/>
      <c r="M184" s="102"/>
    </row>
    <row r="185" spans="1:13" s="50" customFormat="1" ht="15.75">
      <c r="A185" s="103"/>
      <c r="B185" s="103"/>
      <c r="C185" s="671" t="s">
        <v>16</v>
      </c>
      <c r="D185" s="671"/>
      <c r="E185" s="671"/>
      <c r="F185" s="104"/>
      <c r="G185" s="105">
        <f>SUM(G169:G184)</f>
        <v>56110.81999999999</v>
      </c>
      <c r="H185" s="106">
        <f>(G185/$G$211)*100</f>
        <v>18.4686922882372</v>
      </c>
      <c r="I185" s="594"/>
      <c r="J185" s="744"/>
      <c r="K185" s="744"/>
      <c r="M185" s="102"/>
    </row>
    <row r="186" spans="1:11" s="4" customFormat="1" ht="18.75">
      <c r="A186" s="254" t="s">
        <v>1097</v>
      </c>
      <c r="B186" s="581"/>
      <c r="C186" s="625" t="s">
        <v>1136</v>
      </c>
      <c r="D186" s="626"/>
      <c r="E186" s="626"/>
      <c r="F186" s="606"/>
      <c r="G186" s="606"/>
      <c r="H186" s="606"/>
      <c r="J186" s="749"/>
      <c r="K186" s="749"/>
    </row>
    <row r="187" spans="1:11" s="4" customFormat="1" ht="18.75">
      <c r="A187" s="254"/>
      <c r="B187" s="581"/>
      <c r="C187" s="625" t="s">
        <v>1137</v>
      </c>
      <c r="D187" s="626"/>
      <c r="E187" s="626"/>
      <c r="F187" s="606"/>
      <c r="G187" s="606"/>
      <c r="H187" s="606"/>
      <c r="J187" s="749"/>
      <c r="K187" s="749"/>
    </row>
    <row r="188" spans="1:9" ht="18.75">
      <c r="A188" s="254" t="s">
        <v>1098</v>
      </c>
      <c r="B188" s="141" t="s">
        <v>1138</v>
      </c>
      <c r="C188" s="255" t="s">
        <v>1139</v>
      </c>
      <c r="D188" s="256" t="s">
        <v>21</v>
      </c>
      <c r="E188" s="627">
        <v>15</v>
      </c>
      <c r="F188" s="99">
        <v>188.1</v>
      </c>
      <c r="G188" s="98">
        <f aca="true" t="shared" si="24" ref="G188:G209">ROUND(E188*F188,2)</f>
        <v>2821.5</v>
      </c>
      <c r="H188" s="100">
        <f>(G188/$G$211)*100</f>
        <v>0.9286874668960687</v>
      </c>
      <c r="I188" s="2">
        <v>216.21</v>
      </c>
    </row>
    <row r="189" spans="1:9" ht="30">
      <c r="A189" s="254" t="s">
        <v>1142</v>
      </c>
      <c r="B189" s="141" t="s">
        <v>1143</v>
      </c>
      <c r="C189" s="269" t="s">
        <v>1144</v>
      </c>
      <c r="D189" s="256" t="s">
        <v>21</v>
      </c>
      <c r="E189" s="627">
        <v>11</v>
      </c>
      <c r="F189" s="99">
        <v>167.84</v>
      </c>
      <c r="G189" s="98">
        <f t="shared" si="24"/>
        <v>1846.24</v>
      </c>
      <c r="H189" s="100">
        <f aca="true" t="shared" si="25" ref="H189:H207">(G189/$G$211)*100</f>
        <v>0.6076838379876653</v>
      </c>
      <c r="I189" s="2">
        <v>192.93</v>
      </c>
    </row>
    <row r="190" spans="1:9" ht="15.75">
      <c r="A190" s="621" t="s">
        <v>1147</v>
      </c>
      <c r="B190" s="141" t="s">
        <v>1148</v>
      </c>
      <c r="C190" s="255" t="s">
        <v>1149</v>
      </c>
      <c r="D190" s="256" t="s">
        <v>21</v>
      </c>
      <c r="E190" s="627">
        <v>6</v>
      </c>
      <c r="F190" s="99">
        <v>501.83</v>
      </c>
      <c r="G190" s="98">
        <f t="shared" si="24"/>
        <v>3010.98</v>
      </c>
      <c r="H190" s="100">
        <f t="shared" si="25"/>
        <v>0.9910541871609871</v>
      </c>
      <c r="I190" s="2">
        <v>576.82</v>
      </c>
    </row>
    <row r="191" spans="1:9" ht="30">
      <c r="A191" s="621" t="s">
        <v>1154</v>
      </c>
      <c r="B191" s="141" t="s">
        <v>1155</v>
      </c>
      <c r="C191" s="255" t="s">
        <v>1234</v>
      </c>
      <c r="D191" s="256" t="s">
        <v>21</v>
      </c>
      <c r="E191" s="627">
        <v>9</v>
      </c>
      <c r="F191" s="99">
        <v>11.29</v>
      </c>
      <c r="G191" s="98">
        <f t="shared" si="24"/>
        <v>101.61</v>
      </c>
      <c r="H191" s="100">
        <f t="shared" si="25"/>
        <v>0.03344459809013275</v>
      </c>
      <c r="I191" s="2">
        <v>12.98</v>
      </c>
    </row>
    <row r="192" spans="1:9" ht="30">
      <c r="A192" s="621" t="s">
        <v>1159</v>
      </c>
      <c r="B192" s="141" t="s">
        <v>1160</v>
      </c>
      <c r="C192" s="255" t="s">
        <v>1235</v>
      </c>
      <c r="D192" s="256" t="s">
        <v>21</v>
      </c>
      <c r="E192" s="627">
        <v>12</v>
      </c>
      <c r="F192" s="99">
        <v>11.29</v>
      </c>
      <c r="G192" s="98">
        <f t="shared" si="24"/>
        <v>135.48</v>
      </c>
      <c r="H192" s="100">
        <f t="shared" si="25"/>
        <v>0.04459279745351033</v>
      </c>
      <c r="I192" s="2">
        <v>12.98</v>
      </c>
    </row>
    <row r="193" spans="1:9" ht="30">
      <c r="A193" s="621" t="s">
        <v>1162</v>
      </c>
      <c r="B193" s="141" t="s">
        <v>1163</v>
      </c>
      <c r="C193" s="255" t="s">
        <v>1236</v>
      </c>
      <c r="D193" s="256" t="s">
        <v>21</v>
      </c>
      <c r="E193" s="627">
        <v>3</v>
      </c>
      <c r="F193" s="99">
        <v>11.29</v>
      </c>
      <c r="G193" s="98">
        <f t="shared" si="24"/>
        <v>33.87</v>
      </c>
      <c r="H193" s="100">
        <f t="shared" si="25"/>
        <v>0.011148199363377582</v>
      </c>
      <c r="I193" s="2">
        <v>12.98</v>
      </c>
    </row>
    <row r="194" spans="1:9" ht="30">
      <c r="A194" s="621" t="s">
        <v>1165</v>
      </c>
      <c r="B194" s="141" t="s">
        <v>1166</v>
      </c>
      <c r="C194" s="255" t="s">
        <v>1237</v>
      </c>
      <c r="D194" s="256" t="s">
        <v>21</v>
      </c>
      <c r="E194" s="627">
        <v>21</v>
      </c>
      <c r="F194" s="99">
        <v>11.36</v>
      </c>
      <c r="G194" s="98">
        <f t="shared" si="24"/>
        <v>238.56</v>
      </c>
      <c r="H194" s="100">
        <f t="shared" si="25"/>
        <v>0.07852124122017586</v>
      </c>
      <c r="I194" s="2">
        <v>13.06</v>
      </c>
    </row>
    <row r="195" spans="1:9" ht="15.75">
      <c r="A195" s="621" t="s">
        <v>1168</v>
      </c>
      <c r="B195" s="141" t="s">
        <v>1169</v>
      </c>
      <c r="C195" s="255" t="s">
        <v>1238</v>
      </c>
      <c r="D195" s="256" t="s">
        <v>21</v>
      </c>
      <c r="E195" s="627">
        <v>32</v>
      </c>
      <c r="F195" s="99">
        <v>11.42</v>
      </c>
      <c r="G195" s="98">
        <f t="shared" si="24"/>
        <v>365.44</v>
      </c>
      <c r="H195" s="100">
        <f t="shared" si="25"/>
        <v>0.1202833768926101</v>
      </c>
      <c r="I195" s="2">
        <v>13.13</v>
      </c>
    </row>
    <row r="196" spans="1:9" ht="15.75">
      <c r="A196" s="621" t="s">
        <v>1171</v>
      </c>
      <c r="B196" s="141" t="s">
        <v>1172</v>
      </c>
      <c r="C196" s="255" t="s">
        <v>1239</v>
      </c>
      <c r="D196" s="256" t="s">
        <v>21</v>
      </c>
      <c r="E196" s="627">
        <v>1</v>
      </c>
      <c r="F196" s="99">
        <v>11.29</v>
      </c>
      <c r="G196" s="98">
        <f t="shared" si="24"/>
        <v>11.29</v>
      </c>
      <c r="H196" s="100">
        <f t="shared" si="25"/>
        <v>0.003716066454459194</v>
      </c>
      <c r="I196" s="2">
        <v>12.98</v>
      </c>
    </row>
    <row r="197" spans="1:9" ht="45">
      <c r="A197" s="621" t="s">
        <v>1175</v>
      </c>
      <c r="B197" s="141" t="s">
        <v>1176</v>
      </c>
      <c r="C197" s="255" t="s">
        <v>1231</v>
      </c>
      <c r="D197" s="256" t="s">
        <v>19</v>
      </c>
      <c r="E197" s="627">
        <v>0.08</v>
      </c>
      <c r="F197" s="99">
        <v>622.45</v>
      </c>
      <c r="G197" s="98">
        <f t="shared" si="24"/>
        <v>49.8</v>
      </c>
      <c r="H197" s="100">
        <f t="shared" si="25"/>
        <v>0.016391506592742945</v>
      </c>
      <c r="I197" s="2">
        <v>715.47</v>
      </c>
    </row>
    <row r="198" spans="1:9" ht="30">
      <c r="A198" s="621" t="s">
        <v>1179</v>
      </c>
      <c r="B198" s="141" t="s">
        <v>1180</v>
      </c>
      <c r="C198" s="255" t="s">
        <v>1232</v>
      </c>
      <c r="D198" s="256" t="s">
        <v>19</v>
      </c>
      <c r="E198" s="627">
        <v>0.08</v>
      </c>
      <c r="F198" s="99">
        <v>331.06</v>
      </c>
      <c r="G198" s="98">
        <f t="shared" si="24"/>
        <v>26.48</v>
      </c>
      <c r="H198" s="100">
        <f t="shared" si="25"/>
        <v>0.008715805111964523</v>
      </c>
      <c r="I198" s="2">
        <v>380.54</v>
      </c>
    </row>
    <row r="199" spans="1:9" ht="30">
      <c r="A199" s="621" t="s">
        <v>1183</v>
      </c>
      <c r="B199" s="141" t="s">
        <v>1184</v>
      </c>
      <c r="C199" s="255" t="s">
        <v>1233</v>
      </c>
      <c r="D199" s="256" t="s">
        <v>19</v>
      </c>
      <c r="E199" s="627">
        <v>0.08</v>
      </c>
      <c r="F199" s="99">
        <v>233.73</v>
      </c>
      <c r="G199" s="98">
        <f t="shared" si="24"/>
        <v>18.7</v>
      </c>
      <c r="H199" s="100">
        <f t="shared" si="25"/>
        <v>0.006155043640246849</v>
      </c>
      <c r="I199" s="2">
        <v>268.66</v>
      </c>
    </row>
    <row r="200" spans="1:9" ht="45">
      <c r="A200" s="621" t="s">
        <v>1187</v>
      </c>
      <c r="B200" s="141" t="s">
        <v>1188</v>
      </c>
      <c r="C200" s="255" t="s">
        <v>1189</v>
      </c>
      <c r="D200" s="256" t="s">
        <v>15</v>
      </c>
      <c r="E200" s="627">
        <v>3.25</v>
      </c>
      <c r="F200" s="99">
        <v>57.01</v>
      </c>
      <c r="G200" s="98">
        <f t="shared" si="24"/>
        <v>185.28</v>
      </c>
      <c r="H200" s="100">
        <f t="shared" si="25"/>
        <v>0.060984304046253275</v>
      </c>
      <c r="I200" s="2">
        <v>65.53</v>
      </c>
    </row>
    <row r="201" spans="1:9" ht="60">
      <c r="A201" s="621" t="s">
        <v>1198</v>
      </c>
      <c r="B201" s="141" t="s">
        <v>1199</v>
      </c>
      <c r="C201" s="255" t="s">
        <v>1200</v>
      </c>
      <c r="D201" s="256" t="s">
        <v>15</v>
      </c>
      <c r="E201" s="627">
        <v>3.25</v>
      </c>
      <c r="F201" s="99">
        <v>42.74</v>
      </c>
      <c r="G201" s="98">
        <f t="shared" si="24"/>
        <v>138.91</v>
      </c>
      <c r="H201" s="100">
        <f t="shared" si="25"/>
        <v>0.04572177069875347</v>
      </c>
      <c r="I201" s="2">
        <v>49.13</v>
      </c>
    </row>
    <row r="202" spans="1:9" ht="45">
      <c r="A202" s="621" t="s">
        <v>1203</v>
      </c>
      <c r="B202" s="141" t="s">
        <v>1204</v>
      </c>
      <c r="C202" s="255" t="s">
        <v>1205</v>
      </c>
      <c r="D202" s="256" t="s">
        <v>15</v>
      </c>
      <c r="E202" s="627">
        <v>7.31</v>
      </c>
      <c r="F202" s="99">
        <v>4.28</v>
      </c>
      <c r="G202" s="98">
        <f t="shared" si="24"/>
        <v>31.29</v>
      </c>
      <c r="H202" s="100">
        <f t="shared" si="25"/>
        <v>0.010299000829054755</v>
      </c>
      <c r="I202" s="2">
        <v>4.92</v>
      </c>
    </row>
    <row r="203" spans="1:9" ht="60">
      <c r="A203" s="621" t="s">
        <v>1209</v>
      </c>
      <c r="B203" s="141" t="s">
        <v>1210</v>
      </c>
      <c r="C203" s="255" t="s">
        <v>1211</v>
      </c>
      <c r="D203" s="256" t="s">
        <v>15</v>
      </c>
      <c r="E203" s="627">
        <v>7.31</v>
      </c>
      <c r="F203" s="99">
        <v>37.68</v>
      </c>
      <c r="G203" s="98">
        <f t="shared" si="24"/>
        <v>275.44</v>
      </c>
      <c r="H203" s="100">
        <f t="shared" si="25"/>
        <v>0.09066017220693007</v>
      </c>
      <c r="I203" s="2">
        <v>43.32</v>
      </c>
    </row>
    <row r="204" spans="1:11" s="52" customFormat="1" ht="15.75">
      <c r="A204" s="170" t="s">
        <v>1212</v>
      </c>
      <c r="B204" s="141" t="s">
        <v>1213</v>
      </c>
      <c r="C204" s="255" t="s">
        <v>1214</v>
      </c>
      <c r="D204" s="256" t="s">
        <v>15</v>
      </c>
      <c r="E204" s="627">
        <v>0.03</v>
      </c>
      <c r="F204" s="99">
        <v>436.51</v>
      </c>
      <c r="G204" s="98">
        <f t="shared" si="24"/>
        <v>13.1</v>
      </c>
      <c r="H204" s="143">
        <f t="shared" si="25"/>
        <v>0.004311822015360092</v>
      </c>
      <c r="I204" s="52">
        <v>501.74</v>
      </c>
      <c r="J204" s="751"/>
      <c r="K204" s="751"/>
    </row>
    <row r="205" spans="1:9" ht="30">
      <c r="A205" s="621" t="s">
        <v>1222</v>
      </c>
      <c r="B205" s="141" t="s">
        <v>1223</v>
      </c>
      <c r="C205" s="255" t="s">
        <v>1224</v>
      </c>
      <c r="D205" s="256" t="s">
        <v>15</v>
      </c>
      <c r="E205" s="627">
        <v>0.49</v>
      </c>
      <c r="F205" s="99">
        <v>29.62</v>
      </c>
      <c r="G205" s="98">
        <f t="shared" si="24"/>
        <v>14.51</v>
      </c>
      <c r="H205" s="100">
        <f t="shared" si="25"/>
        <v>0.00477591888876908</v>
      </c>
      <c r="I205" s="2">
        <v>34.05</v>
      </c>
    </row>
    <row r="206" spans="1:9" ht="30">
      <c r="A206" s="621" t="s">
        <v>1229</v>
      </c>
      <c r="B206" s="141" t="s">
        <v>1240</v>
      </c>
      <c r="C206" s="255" t="s">
        <v>1241</v>
      </c>
      <c r="D206" s="256" t="s">
        <v>15</v>
      </c>
      <c r="E206" s="627">
        <v>0.6</v>
      </c>
      <c r="F206" s="99">
        <v>583.7</v>
      </c>
      <c r="G206" s="98">
        <f t="shared" si="24"/>
        <v>350.22</v>
      </c>
      <c r="H206" s="100">
        <f t="shared" si="25"/>
        <v>0.11527376383354287</v>
      </c>
      <c r="I206" s="2">
        <v>670.93</v>
      </c>
    </row>
    <row r="207" spans="1:11" s="54" customFormat="1" ht="45">
      <c r="A207" s="621" t="s">
        <v>1230</v>
      </c>
      <c r="B207" s="141" t="s">
        <v>1259</v>
      </c>
      <c r="C207" s="255" t="s">
        <v>1260</v>
      </c>
      <c r="D207" s="256" t="s">
        <v>18</v>
      </c>
      <c r="E207" s="627">
        <v>8</v>
      </c>
      <c r="F207" s="99">
        <v>11.04</v>
      </c>
      <c r="G207" s="98">
        <f t="shared" si="24"/>
        <v>88.32</v>
      </c>
      <c r="H207" s="100">
        <f t="shared" si="25"/>
        <v>0.029070238198213992</v>
      </c>
      <c r="I207" s="2">
        <v>12.69</v>
      </c>
      <c r="J207" s="752"/>
      <c r="K207" s="752"/>
    </row>
    <row r="208" spans="1:11" s="54" customFormat="1" ht="45">
      <c r="A208" s="621" t="s">
        <v>1247</v>
      </c>
      <c r="B208" s="141" t="s">
        <v>1251</v>
      </c>
      <c r="C208" s="255" t="s">
        <v>1252</v>
      </c>
      <c r="D208" s="256" t="s">
        <v>18</v>
      </c>
      <c r="E208" s="627">
        <v>9</v>
      </c>
      <c r="F208" s="99">
        <v>38.08</v>
      </c>
      <c r="G208" s="98">
        <f t="shared" si="24"/>
        <v>342.72</v>
      </c>
      <c r="H208" s="100">
        <f>(G208/$G$211)*100</f>
        <v>0.11280516344306954</v>
      </c>
      <c r="I208" s="2">
        <v>43.78</v>
      </c>
      <c r="J208" s="752"/>
      <c r="K208" s="752"/>
    </row>
    <row r="209" spans="1:11" s="54" customFormat="1" ht="30">
      <c r="A209" s="621" t="s">
        <v>1246</v>
      </c>
      <c r="B209" s="141" t="s">
        <v>1250</v>
      </c>
      <c r="C209" s="255" t="s">
        <v>1248</v>
      </c>
      <c r="D209" s="256" t="s">
        <v>1249</v>
      </c>
      <c r="E209" s="627">
        <v>1</v>
      </c>
      <c r="F209" s="99">
        <v>39.77</v>
      </c>
      <c r="G209" s="98">
        <f t="shared" si="24"/>
        <v>39.77</v>
      </c>
      <c r="H209" s="100">
        <f>(G209/$G$211)*100</f>
        <v>0.013090165003883273</v>
      </c>
      <c r="I209" s="2">
        <v>45.72</v>
      </c>
      <c r="J209" s="752"/>
      <c r="K209" s="752"/>
    </row>
    <row r="210" spans="1:13" s="50" customFormat="1" ht="15.75">
      <c r="A210" s="103"/>
      <c r="B210" s="103"/>
      <c r="C210" s="671" t="s">
        <v>16</v>
      </c>
      <c r="D210" s="671"/>
      <c r="E210" s="671"/>
      <c r="F210" s="104"/>
      <c r="G210" s="105">
        <f>SUM(G188:G209)</f>
        <v>10139.51</v>
      </c>
      <c r="H210" s="106">
        <f>(G210/$G$211)*100</f>
        <v>3.337386446027772</v>
      </c>
      <c r="I210" s="594"/>
      <c r="J210" s="744"/>
      <c r="K210" s="744"/>
      <c r="M210" s="102"/>
    </row>
    <row r="211" spans="1:17" s="186" customFormat="1" ht="15.75">
      <c r="A211" s="181"/>
      <c r="B211" s="115"/>
      <c r="C211" s="182" t="s">
        <v>1132</v>
      </c>
      <c r="D211" s="183"/>
      <c r="E211" s="184"/>
      <c r="F211" s="185"/>
      <c r="G211" s="184">
        <f>G15+G21+G34+G43+G56+G60+G71+G79+G107+G120+G128+G131+G142+G158+G166+G185+G210</f>
        <v>303815.88</v>
      </c>
      <c r="H211" s="356">
        <f>(G211/$G$211)*100</f>
        <v>100</v>
      </c>
      <c r="I211" s="594"/>
      <c r="J211" s="744"/>
      <c r="K211" s="744"/>
      <c r="L211" s="50"/>
      <c r="M211" s="102"/>
      <c r="N211" s="50"/>
      <c r="O211" s="50"/>
      <c r="P211" s="50"/>
      <c r="Q211" s="50"/>
    </row>
    <row r="212" spans="9:17" ht="15.75">
      <c r="I212" s="594"/>
      <c r="J212" s="744"/>
      <c r="K212" s="744"/>
      <c r="L212" s="50"/>
      <c r="M212" s="102"/>
      <c r="N212" s="50"/>
      <c r="O212" s="50"/>
      <c r="P212" s="50"/>
      <c r="Q212" s="186"/>
    </row>
    <row r="213" spans="9:16" ht="15.75">
      <c r="I213" s="594"/>
      <c r="J213" s="744"/>
      <c r="K213" s="744"/>
      <c r="L213" s="50"/>
      <c r="M213" s="102"/>
      <c r="N213" s="50"/>
      <c r="O213" s="50"/>
      <c r="P213" s="50"/>
    </row>
    <row r="214" spans="9:16" ht="15.75">
      <c r="I214" s="594"/>
      <c r="J214" s="744"/>
      <c r="K214" s="744"/>
      <c r="L214" s="50"/>
      <c r="M214" s="102"/>
      <c r="N214" s="50"/>
      <c r="O214" s="50"/>
      <c r="P214" s="50"/>
    </row>
    <row r="215" spans="9:16" ht="15.75">
      <c r="I215" s="594"/>
      <c r="J215" s="744"/>
      <c r="K215" s="744"/>
      <c r="L215" s="50"/>
      <c r="M215" s="102"/>
      <c r="N215" s="50"/>
      <c r="O215" s="50"/>
      <c r="P215" s="50"/>
    </row>
    <row r="216" spans="9:16" ht="15.75">
      <c r="I216" s="594"/>
      <c r="J216" s="744"/>
      <c r="K216" s="744"/>
      <c r="L216" s="50"/>
      <c r="M216" s="102"/>
      <c r="N216" s="50"/>
      <c r="O216" s="50"/>
      <c r="P216" s="50"/>
    </row>
    <row r="217" spans="9:16" ht="15.75">
      <c r="I217" s="594"/>
      <c r="J217" s="744"/>
      <c r="K217" s="744"/>
      <c r="L217" s="50"/>
      <c r="M217" s="102"/>
      <c r="N217" s="50"/>
      <c r="O217" s="50"/>
      <c r="P217" s="50"/>
    </row>
    <row r="218" spans="9:16" ht="15.75">
      <c r="I218" s="595"/>
      <c r="J218" s="744"/>
      <c r="K218" s="744"/>
      <c r="L218" s="50"/>
      <c r="M218" s="102"/>
      <c r="N218" s="50"/>
      <c r="O218" s="50"/>
      <c r="P218" s="50"/>
    </row>
    <row r="219" spans="9:16" ht="15.75">
      <c r="I219" s="594"/>
      <c r="J219" s="744"/>
      <c r="K219" s="744"/>
      <c r="L219" s="50"/>
      <c r="M219" s="102"/>
      <c r="N219" s="50"/>
      <c r="O219" s="50"/>
      <c r="P219" s="50"/>
    </row>
    <row r="220" spans="9:16" ht="15.75">
      <c r="I220" s="594"/>
      <c r="J220" s="744"/>
      <c r="K220" s="744"/>
      <c r="L220" s="50"/>
      <c r="M220" s="102"/>
      <c r="N220" s="50"/>
      <c r="O220" s="50"/>
      <c r="P220" s="50"/>
    </row>
    <row r="221" spans="9:16" ht="15.75">
      <c r="I221" s="594"/>
      <c r="J221" s="744"/>
      <c r="K221" s="744"/>
      <c r="L221" s="50"/>
      <c r="M221" s="102"/>
      <c r="N221" s="50"/>
      <c r="O221" s="50"/>
      <c r="P221" s="50"/>
    </row>
    <row r="222" spans="9:16" ht="15.75">
      <c r="I222" s="594"/>
      <c r="J222" s="744"/>
      <c r="K222" s="744"/>
      <c r="L222" s="50"/>
      <c r="M222" s="102"/>
      <c r="N222" s="50"/>
      <c r="O222" s="50"/>
      <c r="P222" s="50"/>
    </row>
    <row r="223" spans="9:16" ht="15.75">
      <c r="I223" s="594"/>
      <c r="J223" s="744"/>
      <c r="K223" s="744"/>
      <c r="L223" s="50"/>
      <c r="M223" s="102"/>
      <c r="N223" s="50"/>
      <c r="O223" s="50"/>
      <c r="P223" s="50"/>
    </row>
    <row r="224" spans="9:16" ht="15.75">
      <c r="I224" s="594"/>
      <c r="J224" s="744"/>
      <c r="K224" s="744"/>
      <c r="L224" s="50"/>
      <c r="M224" s="102"/>
      <c r="N224" s="50"/>
      <c r="O224" s="50"/>
      <c r="P224" s="50"/>
    </row>
    <row r="225" spans="9:16" ht="15.75">
      <c r="I225" s="594"/>
      <c r="J225" s="744"/>
      <c r="K225" s="744"/>
      <c r="L225" s="50"/>
      <c r="M225" s="102"/>
      <c r="N225" s="50"/>
      <c r="O225" s="50"/>
      <c r="P225" s="50"/>
    </row>
    <row r="226" spans="9:16" ht="15.75">
      <c r="I226" s="594"/>
      <c r="J226" s="744"/>
      <c r="K226" s="744"/>
      <c r="L226" s="50"/>
      <c r="M226" s="102"/>
      <c r="N226" s="50"/>
      <c r="O226" s="50"/>
      <c r="P226" s="50"/>
    </row>
    <row r="227" spans="9:16" ht="15.75">
      <c r="I227" s="594"/>
      <c r="J227" s="744"/>
      <c r="K227" s="744"/>
      <c r="L227" s="50"/>
      <c r="M227" s="102"/>
      <c r="N227" s="50"/>
      <c r="O227" s="50"/>
      <c r="P227" s="50"/>
    </row>
    <row r="228" spans="9:16" ht="15.75">
      <c r="I228" s="594"/>
      <c r="J228" s="744"/>
      <c r="K228" s="744"/>
      <c r="L228" s="50"/>
      <c r="M228" s="102"/>
      <c r="N228" s="50"/>
      <c r="O228" s="50"/>
      <c r="P228" s="186"/>
    </row>
    <row r="229" spans="9:15" ht="15.75">
      <c r="I229" s="594"/>
      <c r="J229" s="744"/>
      <c r="K229" s="743"/>
      <c r="L229" s="50"/>
      <c r="M229" s="102"/>
      <c r="N229" s="50"/>
      <c r="O229" s="50"/>
    </row>
    <row r="230" spans="9:15" ht="15.75">
      <c r="I230" s="594"/>
      <c r="J230" s="744"/>
      <c r="K230" s="753"/>
      <c r="L230" s="186"/>
      <c r="M230" s="186"/>
      <c r="N230" s="186"/>
      <c r="O230" s="186"/>
    </row>
    <row r="231" spans="9:10" ht="15.75">
      <c r="I231" s="594"/>
      <c r="J231" s="744"/>
    </row>
    <row r="232" spans="9:10" ht="15.75">
      <c r="I232" s="594"/>
      <c r="J232" s="744"/>
    </row>
    <row r="233" spans="9:10" ht="15.75">
      <c r="I233" s="594"/>
      <c r="J233" s="744"/>
    </row>
    <row r="234" spans="9:10" ht="15.75">
      <c r="I234" s="594"/>
      <c r="J234" s="744"/>
    </row>
    <row r="235" spans="9:10" ht="15.75">
      <c r="I235" s="594"/>
      <c r="J235" s="744"/>
    </row>
    <row r="236" spans="9:10" ht="15.75">
      <c r="I236" s="594"/>
      <c r="J236" s="744"/>
    </row>
    <row r="237" spans="9:10" ht="15.75">
      <c r="I237" s="594"/>
      <c r="J237" s="744"/>
    </row>
    <row r="238" spans="9:10" ht="15.75">
      <c r="I238" s="594"/>
      <c r="J238" s="744"/>
    </row>
    <row r="239" spans="9:10" ht="15.75">
      <c r="I239" s="594"/>
      <c r="J239" s="744"/>
    </row>
    <row r="240" spans="9:10" ht="15.75">
      <c r="I240" s="594"/>
      <c r="J240" s="744"/>
    </row>
    <row r="241" spans="9:10" ht="15.75">
      <c r="I241" s="594"/>
      <c r="J241" s="744"/>
    </row>
    <row r="242" spans="9:10" ht="15.75">
      <c r="I242" s="594"/>
      <c r="J242" s="744"/>
    </row>
    <row r="243" spans="9:10" ht="15.75">
      <c r="I243" s="594"/>
      <c r="J243" s="744"/>
    </row>
    <row r="244" spans="9:10" ht="15.75">
      <c r="I244" s="594"/>
      <c r="J244" s="744"/>
    </row>
    <row r="245" spans="9:10" ht="15.75">
      <c r="I245" s="594"/>
      <c r="J245" s="744"/>
    </row>
    <row r="246" spans="9:10" ht="15.75">
      <c r="I246" s="594"/>
      <c r="J246" s="744"/>
    </row>
    <row r="247" spans="9:10" ht="15.75">
      <c r="I247" s="594"/>
      <c r="J247" s="753"/>
    </row>
    <row r="248" ht="15.75">
      <c r="I248" s="594"/>
    </row>
    <row r="249" ht="15.75">
      <c r="I249" s="594"/>
    </row>
    <row r="250" ht="15.75">
      <c r="I250" s="594"/>
    </row>
    <row r="251" ht="15.75">
      <c r="I251" s="594"/>
    </row>
    <row r="252" ht="15.75">
      <c r="I252" s="594"/>
    </row>
    <row r="253" ht="15.75">
      <c r="I253" s="594"/>
    </row>
    <row r="254" ht="15.75">
      <c r="I254" s="594"/>
    </row>
    <row r="255" ht="15.75">
      <c r="I255" s="594"/>
    </row>
    <row r="256" ht="15.75">
      <c r="I256" s="594"/>
    </row>
    <row r="257" ht="15.75">
      <c r="I257" s="594"/>
    </row>
    <row r="258" ht="15.75">
      <c r="I258" s="591"/>
    </row>
  </sheetData>
  <sheetProtection/>
  <mergeCells count="33">
    <mergeCell ref="A9:H9"/>
    <mergeCell ref="F10:F11"/>
    <mergeCell ref="G10:G11"/>
    <mergeCell ref="H10:H11"/>
    <mergeCell ref="C1:E1"/>
    <mergeCell ref="C2:E2"/>
    <mergeCell ref="C3:E3"/>
    <mergeCell ref="C15:E15"/>
    <mergeCell ref="C21:E21"/>
    <mergeCell ref="A10:A11"/>
    <mergeCell ref="B10:B11"/>
    <mergeCell ref="C10:C11"/>
    <mergeCell ref="D10:D11"/>
    <mergeCell ref="E10:E11"/>
    <mergeCell ref="C34:E34"/>
    <mergeCell ref="C142:E142"/>
    <mergeCell ref="C128:E128"/>
    <mergeCell ref="C131:E131"/>
    <mergeCell ref="C166:E166"/>
    <mergeCell ref="C43:E43"/>
    <mergeCell ref="C56:E56"/>
    <mergeCell ref="C60:E60"/>
    <mergeCell ref="C71:E71"/>
    <mergeCell ref="C210:E210"/>
    <mergeCell ref="C185:E185"/>
    <mergeCell ref="F5:H5"/>
    <mergeCell ref="F6:H6"/>
    <mergeCell ref="F7:H7"/>
    <mergeCell ref="F8:H8"/>
    <mergeCell ref="C120:E120"/>
    <mergeCell ref="C158:E158"/>
    <mergeCell ref="C79:E79"/>
    <mergeCell ref="C107:E107"/>
  </mergeCells>
  <printOptions horizontalCentered="1"/>
  <pageMargins left="0.5118110236220472" right="0.5118110236220472" top="0.7874015748031497" bottom="0.7874015748031497" header="0.31496062992125984" footer="0.31496062992125984"/>
  <pageSetup fitToHeight="1000" horizontalDpi="600" verticalDpi="600" orientation="portrait" paperSize="9" scale="51" r:id="rId2"/>
  <headerFooter>
    <oddFooter>&amp;L&amp;P/&amp;N</oddFooter>
  </headerFooter>
  <drawing r:id="rId1"/>
</worksheet>
</file>

<file path=xl/worksheets/sheet4.xml><?xml version="1.0" encoding="utf-8"?>
<worksheet xmlns="http://schemas.openxmlformats.org/spreadsheetml/2006/main" xmlns:r="http://schemas.openxmlformats.org/officeDocument/2006/relationships">
  <dimension ref="A1:X56"/>
  <sheetViews>
    <sheetView view="pageBreakPreview" zoomScale="50" zoomScaleSheetLayoutView="50" zoomScalePageLayoutView="0" workbookViewId="0" topLeftCell="A4">
      <selection activeCell="M12" sqref="M12:U53"/>
    </sheetView>
  </sheetViews>
  <sheetFormatPr defaultColWidth="9.140625" defaultRowHeight="12.75"/>
  <cols>
    <col min="1" max="1" width="9.28125" style="0" bestFit="1" customWidth="1"/>
    <col min="2" max="2" width="27.421875" style="0" customWidth="1"/>
    <col min="3" max="3" width="16.7109375" style="0" customWidth="1"/>
    <col min="5" max="5" width="19.28125" style="0" customWidth="1"/>
    <col min="6" max="6" width="10.28125" style="0" bestFit="1" customWidth="1"/>
    <col min="7" max="7" width="18.421875" style="0" customWidth="1"/>
    <col min="8" max="8" width="9.28125" style="0" bestFit="1" customWidth="1"/>
    <col min="9" max="9" width="19.28125" style="0" customWidth="1"/>
    <col min="10" max="10" width="9.00390625" style="0" bestFit="1" customWidth="1"/>
    <col min="11" max="11" width="20.140625" style="0" customWidth="1"/>
    <col min="12" max="12" width="9.28125" style="0" bestFit="1" customWidth="1"/>
    <col min="13" max="13" width="19.8515625" style="0" customWidth="1"/>
    <col min="14" max="14" width="9.28125" style="0" bestFit="1" customWidth="1"/>
    <col min="15" max="15" width="18.7109375" style="0" customWidth="1"/>
    <col min="16" max="16" width="9.28125" style="0" bestFit="1" customWidth="1"/>
    <col min="17" max="17" width="18.8515625" style="0" customWidth="1"/>
    <col min="18" max="18" width="15.28125" style="0" customWidth="1"/>
    <col min="19" max="19" width="16.7109375" style="0" bestFit="1" customWidth="1"/>
    <col min="20" max="20" width="12.57421875" style="0" customWidth="1"/>
    <col min="21" max="21" width="27.8515625" style="0" customWidth="1"/>
    <col min="22" max="22" width="13.8515625" style="0" customWidth="1"/>
    <col min="23" max="23" width="9.140625" style="190" customWidth="1"/>
    <col min="24" max="24" width="12.140625" style="0" bestFit="1" customWidth="1"/>
  </cols>
  <sheetData>
    <row r="1" spans="1:23" s="2" customFormat="1" ht="16.5" customHeight="1">
      <c r="A1" s="64"/>
      <c r="B1" s="65"/>
      <c r="C1" s="713" t="s">
        <v>11</v>
      </c>
      <c r="D1" s="714"/>
      <c r="E1" s="714"/>
      <c r="F1" s="714"/>
      <c r="G1" s="715"/>
      <c r="H1" s="715"/>
      <c r="I1" s="208"/>
      <c r="J1" s="208"/>
      <c r="K1" s="208"/>
      <c r="L1" s="208"/>
      <c r="M1" s="208"/>
      <c r="N1" s="208"/>
      <c r="O1" s="208"/>
      <c r="P1" s="208"/>
      <c r="Q1" s="32"/>
      <c r="R1" s="42"/>
      <c r="S1" s="209" t="s">
        <v>416</v>
      </c>
      <c r="T1" s="210" t="s">
        <v>418</v>
      </c>
      <c r="U1" s="210" t="s">
        <v>417</v>
      </c>
      <c r="W1" s="9"/>
    </row>
    <row r="2" spans="1:23" s="2" customFormat="1" ht="16.5" customHeight="1">
      <c r="A2" s="70"/>
      <c r="B2" s="71"/>
      <c r="C2" s="716" t="s">
        <v>8</v>
      </c>
      <c r="D2" s="717"/>
      <c r="E2" s="717"/>
      <c r="F2" s="718"/>
      <c r="G2" s="719"/>
      <c r="H2" s="720"/>
      <c r="I2" s="211"/>
      <c r="J2" s="211"/>
      <c r="K2" s="211"/>
      <c r="L2" s="211"/>
      <c r="M2" s="211"/>
      <c r="N2" s="211"/>
      <c r="O2" s="211"/>
      <c r="P2" s="211"/>
      <c r="Q2" s="35"/>
      <c r="R2" s="43"/>
      <c r="S2" s="66" t="s">
        <v>600</v>
      </c>
      <c r="T2" s="67" t="s">
        <v>1279</v>
      </c>
      <c r="U2" s="72">
        <v>43812</v>
      </c>
      <c r="W2" s="9"/>
    </row>
    <row r="3" spans="1:23" s="2" customFormat="1" ht="29.25" customHeight="1">
      <c r="A3" s="70"/>
      <c r="B3" s="71"/>
      <c r="C3" s="716" t="s">
        <v>9</v>
      </c>
      <c r="D3" s="717"/>
      <c r="E3" s="717"/>
      <c r="F3" s="718"/>
      <c r="G3" s="719"/>
      <c r="H3" s="720"/>
      <c r="I3" s="211"/>
      <c r="J3" s="211"/>
      <c r="K3" s="211"/>
      <c r="L3" s="211"/>
      <c r="M3" s="211"/>
      <c r="N3" s="211"/>
      <c r="O3" s="211"/>
      <c r="P3" s="211"/>
      <c r="Q3" s="35"/>
      <c r="R3" s="36"/>
      <c r="S3" s="33"/>
      <c r="T3" s="34"/>
      <c r="U3" s="39"/>
      <c r="W3" s="9"/>
    </row>
    <row r="4" spans="1:23" s="2" customFormat="1" ht="34.5" customHeight="1">
      <c r="A4" s="70"/>
      <c r="B4" s="71"/>
      <c r="C4" s="701" t="s">
        <v>402</v>
      </c>
      <c r="D4" s="702"/>
      <c r="E4" s="702"/>
      <c r="F4" s="703"/>
      <c r="G4" s="704"/>
      <c r="H4" s="705"/>
      <c r="I4" s="705"/>
      <c r="J4" s="705"/>
      <c r="K4" s="705"/>
      <c r="L4" s="705"/>
      <c r="M4" s="705"/>
      <c r="N4" s="705"/>
      <c r="O4" s="705"/>
      <c r="P4" s="705"/>
      <c r="Q4" s="704"/>
      <c r="R4" s="212"/>
      <c r="S4" s="44"/>
      <c r="T4" s="213"/>
      <c r="U4" s="214"/>
      <c r="W4" s="9"/>
    </row>
    <row r="5" spans="1:23" s="2" customFormat="1" ht="27" customHeight="1">
      <c r="A5" s="70"/>
      <c r="B5" s="71"/>
      <c r="C5" s="706" t="s">
        <v>554</v>
      </c>
      <c r="D5" s="707"/>
      <c r="E5" s="707"/>
      <c r="F5" s="708"/>
      <c r="G5" s="709"/>
      <c r="H5" s="710"/>
      <c r="I5" s="710"/>
      <c r="J5" s="710"/>
      <c r="K5" s="710"/>
      <c r="L5" s="710"/>
      <c r="M5" s="710"/>
      <c r="N5" s="710"/>
      <c r="O5" s="710"/>
      <c r="P5" s="710"/>
      <c r="Q5" s="711"/>
      <c r="R5" s="74" t="s">
        <v>241</v>
      </c>
      <c r="S5" s="672" t="s">
        <v>400</v>
      </c>
      <c r="T5" s="699"/>
      <c r="U5" s="700"/>
      <c r="W5" s="9"/>
    </row>
    <row r="6" spans="1:23" s="2" customFormat="1" ht="27" customHeight="1">
      <c r="A6" s="70"/>
      <c r="B6" s="71"/>
      <c r="C6" s="706" t="s">
        <v>180</v>
      </c>
      <c r="D6" s="707"/>
      <c r="E6" s="707"/>
      <c r="F6" s="708"/>
      <c r="G6" s="704"/>
      <c r="H6" s="705"/>
      <c r="I6" s="705"/>
      <c r="J6" s="705"/>
      <c r="K6" s="705"/>
      <c r="L6" s="705"/>
      <c r="M6" s="705"/>
      <c r="N6" s="705"/>
      <c r="O6" s="705"/>
      <c r="P6" s="705"/>
      <c r="Q6" s="711"/>
      <c r="R6" s="75" t="s">
        <v>242</v>
      </c>
      <c r="S6" s="672" t="s">
        <v>400</v>
      </c>
      <c r="T6" s="699"/>
      <c r="U6" s="700"/>
      <c r="W6" s="9"/>
    </row>
    <row r="7" spans="1:23" s="2" customFormat="1" ht="27" customHeight="1">
      <c r="A7" s="70"/>
      <c r="B7" s="71"/>
      <c r="C7" s="735" t="s">
        <v>1135</v>
      </c>
      <c r="D7" s="736"/>
      <c r="E7" s="736"/>
      <c r="F7" s="737"/>
      <c r="G7" s="736"/>
      <c r="H7" s="737"/>
      <c r="I7" s="737"/>
      <c r="J7" s="737"/>
      <c r="K7" s="737"/>
      <c r="L7" s="737"/>
      <c r="M7" s="737"/>
      <c r="N7" s="737"/>
      <c r="O7" s="737"/>
      <c r="P7" s="737"/>
      <c r="Q7" s="738"/>
      <c r="R7" s="75" t="s">
        <v>243</v>
      </c>
      <c r="S7" s="672" t="s">
        <v>553</v>
      </c>
      <c r="T7" s="699"/>
      <c r="U7" s="700"/>
      <c r="W7" s="9"/>
    </row>
    <row r="8" spans="1:23" s="2" customFormat="1" ht="27" customHeight="1">
      <c r="A8" s="215"/>
      <c r="B8" s="216"/>
      <c r="C8" s="739" t="s">
        <v>1134</v>
      </c>
      <c r="D8" s="740"/>
      <c r="E8" s="740"/>
      <c r="F8" s="740"/>
      <c r="G8" s="741"/>
      <c r="H8" s="741"/>
      <c r="I8" s="741"/>
      <c r="J8" s="741"/>
      <c r="K8" s="741"/>
      <c r="L8" s="741"/>
      <c r="M8" s="741"/>
      <c r="N8" s="741"/>
      <c r="O8" s="741"/>
      <c r="P8" s="741"/>
      <c r="Q8" s="742"/>
      <c r="R8" s="76" t="s">
        <v>244</v>
      </c>
      <c r="S8" s="675" t="s">
        <v>401</v>
      </c>
      <c r="T8" s="676"/>
      <c r="U8" s="677"/>
      <c r="W8" s="9"/>
    </row>
    <row r="9" spans="1:21" ht="15">
      <c r="A9" s="205"/>
      <c r="B9" s="205"/>
      <c r="C9" s="205"/>
      <c r="D9" s="205"/>
      <c r="E9" s="205"/>
      <c r="F9" s="205"/>
      <c r="G9" s="205"/>
      <c r="H9" s="205"/>
      <c r="I9" s="205"/>
      <c r="J9" s="205"/>
      <c r="K9" s="205"/>
      <c r="L9" s="205"/>
      <c r="M9" s="205"/>
      <c r="N9" s="205"/>
      <c r="O9" s="205"/>
      <c r="P9" s="205"/>
      <c r="Q9" s="205"/>
      <c r="R9" s="205"/>
      <c r="S9" s="205"/>
      <c r="T9" s="205"/>
      <c r="U9" s="205"/>
    </row>
    <row r="10" spans="1:23" s="30" customFormat="1" ht="15.75">
      <c r="A10" s="732" t="s">
        <v>403</v>
      </c>
      <c r="B10" s="733"/>
      <c r="C10" s="733"/>
      <c r="D10" s="733"/>
      <c r="E10" s="733"/>
      <c r="F10" s="733"/>
      <c r="G10" s="733"/>
      <c r="H10" s="733"/>
      <c r="I10" s="733"/>
      <c r="J10" s="733"/>
      <c r="K10" s="733"/>
      <c r="L10" s="733"/>
      <c r="M10" s="733"/>
      <c r="N10" s="733"/>
      <c r="O10" s="733"/>
      <c r="P10" s="733"/>
      <c r="Q10" s="733"/>
      <c r="R10" s="733"/>
      <c r="S10" s="733"/>
      <c r="T10" s="733"/>
      <c r="U10" s="734"/>
      <c r="W10" s="189"/>
    </row>
    <row r="11" spans="1:21" ht="15">
      <c r="A11" s="205"/>
      <c r="B11" s="205"/>
      <c r="C11" s="205"/>
      <c r="D11" s="205"/>
      <c r="E11" s="205"/>
      <c r="F11" s="205"/>
      <c r="G11" s="205"/>
      <c r="H11" s="205"/>
      <c r="I11" s="205"/>
      <c r="J11" s="205"/>
      <c r="K11" s="205"/>
      <c r="L11" s="205"/>
      <c r="M11" s="205"/>
      <c r="N11" s="205"/>
      <c r="O11" s="205"/>
      <c r="P11" s="205"/>
      <c r="Q11" s="205"/>
      <c r="R11" s="205"/>
      <c r="S11" s="205"/>
      <c r="T11" s="205"/>
      <c r="U11" s="205"/>
    </row>
    <row r="12" spans="1:21" ht="15.75">
      <c r="A12" s="712" t="s">
        <v>0</v>
      </c>
      <c r="B12" s="712" t="s">
        <v>404</v>
      </c>
      <c r="C12" s="191" t="s">
        <v>405</v>
      </c>
      <c r="D12" s="192" t="s">
        <v>406</v>
      </c>
      <c r="E12" s="712" t="s">
        <v>407</v>
      </c>
      <c r="F12" s="712"/>
      <c r="G12" s="712" t="s">
        <v>408</v>
      </c>
      <c r="H12" s="712"/>
      <c r="I12" s="712" t="s">
        <v>409</v>
      </c>
      <c r="J12" s="712"/>
      <c r="K12" s="712" t="s">
        <v>410</v>
      </c>
      <c r="L12" s="712"/>
      <c r="M12" s="712" t="s">
        <v>750</v>
      </c>
      <c r="N12" s="712"/>
      <c r="O12" s="712" t="s">
        <v>751</v>
      </c>
      <c r="P12" s="712"/>
      <c r="Q12" s="712" t="s">
        <v>752</v>
      </c>
      <c r="R12" s="712"/>
      <c r="S12" s="712" t="s">
        <v>753</v>
      </c>
      <c r="T12" s="712"/>
      <c r="U12" s="712" t="s">
        <v>53</v>
      </c>
    </row>
    <row r="13" spans="1:21" ht="15.75">
      <c r="A13" s="712"/>
      <c r="B13" s="712"/>
      <c r="C13" s="193" t="s">
        <v>411</v>
      </c>
      <c r="D13" s="192" t="s">
        <v>412</v>
      </c>
      <c r="E13" s="194" t="s">
        <v>413</v>
      </c>
      <c r="F13" s="194" t="s">
        <v>5</v>
      </c>
      <c r="G13" s="194" t="s">
        <v>413</v>
      </c>
      <c r="H13" s="194" t="s">
        <v>5</v>
      </c>
      <c r="I13" s="194" t="s">
        <v>413</v>
      </c>
      <c r="J13" s="194" t="s">
        <v>5</v>
      </c>
      <c r="K13" s="194" t="s">
        <v>413</v>
      </c>
      <c r="L13" s="194" t="s">
        <v>5</v>
      </c>
      <c r="M13" s="194" t="s">
        <v>413</v>
      </c>
      <c r="N13" s="194" t="s">
        <v>5</v>
      </c>
      <c r="O13" s="194" t="s">
        <v>413</v>
      </c>
      <c r="P13" s="194" t="s">
        <v>5</v>
      </c>
      <c r="Q13" s="194" t="s">
        <v>413</v>
      </c>
      <c r="R13" s="194" t="s">
        <v>5</v>
      </c>
      <c r="S13" s="194" t="s">
        <v>413</v>
      </c>
      <c r="T13" s="194" t="s">
        <v>5</v>
      </c>
      <c r="U13" s="712"/>
    </row>
    <row r="14" spans="1:21" ht="15">
      <c r="A14" s="697">
        <v>1</v>
      </c>
      <c r="B14" s="697" t="s">
        <v>14</v>
      </c>
      <c r="C14" s="695">
        <f>U15/$U$48</f>
        <v>0.021538801724254833</v>
      </c>
      <c r="D14" s="195" t="s">
        <v>406</v>
      </c>
      <c r="E14" s="196"/>
      <c r="F14" s="197">
        <v>1</v>
      </c>
      <c r="G14" s="196"/>
      <c r="H14" s="196"/>
      <c r="I14" s="196"/>
      <c r="J14" s="196"/>
      <c r="K14" s="196"/>
      <c r="L14" s="196"/>
      <c r="M14" s="196"/>
      <c r="N14" s="196"/>
      <c r="O14" s="196"/>
      <c r="P14" s="196"/>
      <c r="Q14" s="196"/>
      <c r="R14" s="196"/>
      <c r="S14" s="196"/>
      <c r="T14" s="196"/>
      <c r="U14" s="198"/>
    </row>
    <row r="15" spans="1:23" ht="15">
      <c r="A15" s="698"/>
      <c r="B15" s="698"/>
      <c r="C15" s="696"/>
      <c r="D15" s="195" t="s">
        <v>412</v>
      </c>
      <c r="E15" s="199">
        <f>F14*$U$15</f>
        <v>6543.83</v>
      </c>
      <c r="F15" s="200"/>
      <c r="G15" s="201"/>
      <c r="H15" s="200"/>
      <c r="I15" s="200"/>
      <c r="J15" s="200"/>
      <c r="K15" s="200"/>
      <c r="L15" s="200"/>
      <c r="M15" s="200"/>
      <c r="N15" s="200"/>
      <c r="O15" s="200"/>
      <c r="P15" s="200"/>
      <c r="Q15" s="201"/>
      <c r="R15" s="200"/>
      <c r="S15" s="201"/>
      <c r="T15" s="200"/>
      <c r="U15" s="199">
        <f>'Orçamento SEM Desoneração '!G15</f>
        <v>6543.83</v>
      </c>
      <c r="V15" s="31">
        <f>E15+G15+I15+K15+M15+O15+Q15+S15</f>
        <v>6543.83</v>
      </c>
      <c r="W15" s="190">
        <f>U15-V15</f>
        <v>0</v>
      </c>
    </row>
    <row r="16" spans="1:23" ht="15">
      <c r="A16" s="697">
        <v>2</v>
      </c>
      <c r="B16" s="697" t="s">
        <v>23</v>
      </c>
      <c r="C16" s="695">
        <f>U17/$U$48</f>
        <v>0.004245334378176677</v>
      </c>
      <c r="D16" s="195" t="s">
        <v>406</v>
      </c>
      <c r="E16" s="196"/>
      <c r="F16" s="197">
        <v>1</v>
      </c>
      <c r="G16" s="196"/>
      <c r="H16" s="202"/>
      <c r="I16" s="202"/>
      <c r="J16" s="202"/>
      <c r="K16" s="202"/>
      <c r="L16" s="202"/>
      <c r="M16" s="202"/>
      <c r="N16" s="202"/>
      <c r="O16" s="202"/>
      <c r="P16" s="202"/>
      <c r="Q16" s="196"/>
      <c r="R16" s="202"/>
      <c r="S16" s="202"/>
      <c r="T16" s="202"/>
      <c r="U16" s="198"/>
      <c r="V16" s="31"/>
      <c r="W16" s="190">
        <f aca="true" t="shared" si="0" ref="W16:W45">U16-V16</f>
        <v>0</v>
      </c>
    </row>
    <row r="17" spans="1:23" ht="15">
      <c r="A17" s="698"/>
      <c r="B17" s="698"/>
      <c r="C17" s="696"/>
      <c r="D17" s="195" t="s">
        <v>412</v>
      </c>
      <c r="E17" s="199">
        <f>F16*$U$17</f>
        <v>1289.8000000000002</v>
      </c>
      <c r="F17" s="200"/>
      <c r="G17" s="201"/>
      <c r="H17" s="200"/>
      <c r="I17" s="200"/>
      <c r="J17" s="200"/>
      <c r="K17" s="200"/>
      <c r="L17" s="200"/>
      <c r="M17" s="200"/>
      <c r="N17" s="200"/>
      <c r="O17" s="200"/>
      <c r="P17" s="200"/>
      <c r="Q17" s="201"/>
      <c r="R17" s="200"/>
      <c r="S17" s="201"/>
      <c r="T17" s="200"/>
      <c r="U17" s="199">
        <f>'Orçamento SEM Desoneração '!G21</f>
        <v>1289.8000000000002</v>
      </c>
      <c r="V17" s="31">
        <f>E17+G17+I17+K17+M17+O17+Q17+S17</f>
        <v>1289.8000000000002</v>
      </c>
      <c r="W17" s="190">
        <f t="shared" si="0"/>
        <v>0</v>
      </c>
    </row>
    <row r="18" spans="1:23" ht="15">
      <c r="A18" s="697">
        <v>3</v>
      </c>
      <c r="B18" s="697" t="s">
        <v>17</v>
      </c>
      <c r="C18" s="695">
        <f>U19/$U$48</f>
        <v>0.07820522745552341</v>
      </c>
      <c r="D18" s="195" t="s">
        <v>406</v>
      </c>
      <c r="E18" s="196"/>
      <c r="F18" s="197">
        <v>1</v>
      </c>
      <c r="G18" s="196"/>
      <c r="H18" s="202"/>
      <c r="I18" s="202"/>
      <c r="J18" s="202"/>
      <c r="K18" s="202"/>
      <c r="L18" s="202"/>
      <c r="M18" s="202"/>
      <c r="N18" s="202"/>
      <c r="O18" s="202"/>
      <c r="P18" s="202"/>
      <c r="Q18" s="196"/>
      <c r="R18" s="202"/>
      <c r="S18" s="202"/>
      <c r="T18" s="202"/>
      <c r="U18" s="198"/>
      <c r="V18" s="31"/>
      <c r="W18" s="190">
        <f t="shared" si="0"/>
        <v>0</v>
      </c>
    </row>
    <row r="19" spans="1:23" ht="15">
      <c r="A19" s="698"/>
      <c r="B19" s="698"/>
      <c r="C19" s="696"/>
      <c r="D19" s="195" t="s">
        <v>412</v>
      </c>
      <c r="E19" s="199">
        <f>F18*$U$19</f>
        <v>23759.990000000005</v>
      </c>
      <c r="F19" s="200"/>
      <c r="G19" s="201"/>
      <c r="H19" s="200"/>
      <c r="I19" s="200"/>
      <c r="J19" s="200"/>
      <c r="K19" s="200"/>
      <c r="L19" s="200"/>
      <c r="M19" s="200"/>
      <c r="N19" s="200"/>
      <c r="O19" s="200"/>
      <c r="P19" s="200"/>
      <c r="Q19" s="201"/>
      <c r="R19" s="200"/>
      <c r="S19" s="201"/>
      <c r="T19" s="200"/>
      <c r="U19" s="199">
        <f>'Orçamento SEM Desoneração '!G34</f>
        <v>23759.990000000005</v>
      </c>
      <c r="V19" s="31">
        <f>E19+G19+I19+K19+M19+O19+Q19+S19</f>
        <v>23759.990000000005</v>
      </c>
      <c r="W19" s="190">
        <f t="shared" si="0"/>
        <v>0</v>
      </c>
    </row>
    <row r="20" spans="1:23" ht="15">
      <c r="A20" s="697">
        <v>4</v>
      </c>
      <c r="B20" s="697" t="s">
        <v>20</v>
      </c>
      <c r="C20" s="695">
        <f>U21/$U$48</f>
        <v>0.012080112468117203</v>
      </c>
      <c r="D20" s="195" t="s">
        <v>406</v>
      </c>
      <c r="E20" s="196"/>
      <c r="F20" s="197">
        <v>1</v>
      </c>
      <c r="G20" s="196"/>
      <c r="H20" s="202"/>
      <c r="I20" s="202"/>
      <c r="J20" s="202"/>
      <c r="K20" s="202"/>
      <c r="L20" s="202"/>
      <c r="M20" s="202"/>
      <c r="N20" s="202"/>
      <c r="O20" s="202"/>
      <c r="P20" s="202"/>
      <c r="Q20" s="196"/>
      <c r="R20" s="202"/>
      <c r="S20" s="202"/>
      <c r="T20" s="202"/>
      <c r="U20" s="198"/>
      <c r="V20" s="31"/>
      <c r="W20" s="190">
        <f t="shared" si="0"/>
        <v>0</v>
      </c>
    </row>
    <row r="21" spans="1:23" ht="15">
      <c r="A21" s="698"/>
      <c r="B21" s="698"/>
      <c r="C21" s="696"/>
      <c r="D21" s="195" t="s">
        <v>412</v>
      </c>
      <c r="E21" s="199">
        <f>F20*$U$21</f>
        <v>3670.13</v>
      </c>
      <c r="F21" s="200"/>
      <c r="G21" s="201"/>
      <c r="H21" s="200"/>
      <c r="I21" s="200"/>
      <c r="J21" s="200"/>
      <c r="K21" s="200"/>
      <c r="L21" s="200"/>
      <c r="M21" s="200"/>
      <c r="N21" s="200"/>
      <c r="O21" s="200"/>
      <c r="P21" s="200"/>
      <c r="Q21" s="201"/>
      <c r="R21" s="200"/>
      <c r="S21" s="201"/>
      <c r="T21" s="200"/>
      <c r="U21" s="199">
        <f>'Orçamento SEM Desoneração '!G43</f>
        <v>3670.13</v>
      </c>
      <c r="V21" s="31">
        <f>E21+G21+I21+K21+M21+O21+Q21+S21</f>
        <v>3670.13</v>
      </c>
      <c r="W21" s="190">
        <f t="shared" si="0"/>
        <v>0</v>
      </c>
    </row>
    <row r="22" spans="1:23" ht="15">
      <c r="A22" s="697">
        <v>5</v>
      </c>
      <c r="B22" s="697" t="s">
        <v>360</v>
      </c>
      <c r="C22" s="695">
        <f>U23/$U$48</f>
        <v>0.009409383077671911</v>
      </c>
      <c r="D22" s="195" t="s">
        <v>406</v>
      </c>
      <c r="E22" s="196"/>
      <c r="F22" s="197">
        <v>0.9</v>
      </c>
      <c r="G22" s="196"/>
      <c r="H22" s="202"/>
      <c r="I22" s="202"/>
      <c r="J22" s="202"/>
      <c r="K22" s="202"/>
      <c r="L22" s="202"/>
      <c r="M22" s="202"/>
      <c r="N22" s="202"/>
      <c r="O22" s="202"/>
      <c r="P22" s="202"/>
      <c r="Q22" s="196"/>
      <c r="R22" s="202"/>
      <c r="S22" s="202"/>
      <c r="T22" s="197">
        <v>0.1</v>
      </c>
      <c r="U22" s="198"/>
      <c r="V22" s="31"/>
      <c r="W22" s="190">
        <f t="shared" si="0"/>
        <v>0</v>
      </c>
    </row>
    <row r="23" spans="1:23" ht="15">
      <c r="A23" s="698"/>
      <c r="B23" s="698"/>
      <c r="C23" s="696"/>
      <c r="D23" s="195" t="s">
        <v>412</v>
      </c>
      <c r="E23" s="199">
        <f>F22*$U$23</f>
        <v>2572.8480000000004</v>
      </c>
      <c r="F23" s="200"/>
      <c r="G23" s="201"/>
      <c r="H23" s="200"/>
      <c r="I23" s="200"/>
      <c r="J23" s="200"/>
      <c r="K23" s="200"/>
      <c r="L23" s="200"/>
      <c r="M23" s="200"/>
      <c r="N23" s="200"/>
      <c r="O23" s="200"/>
      <c r="P23" s="200"/>
      <c r="Q23" s="201"/>
      <c r="R23" s="200"/>
      <c r="S23" s="199">
        <f>T22*$U$23</f>
        <v>285.872</v>
      </c>
      <c r="T23" s="200"/>
      <c r="U23" s="199">
        <f>'Orçamento SEM Desoneração '!G56</f>
        <v>2858.7200000000003</v>
      </c>
      <c r="V23" s="31">
        <f>E23+G23+I23+K23+M23+O23+Q23+S23</f>
        <v>2858.7200000000003</v>
      </c>
      <c r="W23" s="190">
        <f t="shared" si="0"/>
        <v>0</v>
      </c>
    </row>
    <row r="24" spans="1:24" ht="15">
      <c r="A24" s="697">
        <v>6</v>
      </c>
      <c r="B24" s="697" t="s">
        <v>25</v>
      </c>
      <c r="C24" s="695">
        <f>U25/$U$48</f>
        <v>0.008839268046160061</v>
      </c>
      <c r="D24" s="195" t="s">
        <v>406</v>
      </c>
      <c r="E24" s="196"/>
      <c r="F24" s="202"/>
      <c r="G24" s="196"/>
      <c r="H24" s="197">
        <v>0.1</v>
      </c>
      <c r="I24" s="202"/>
      <c r="J24" s="197">
        <v>0.2</v>
      </c>
      <c r="K24" s="202"/>
      <c r="L24" s="197">
        <v>0.2</v>
      </c>
      <c r="M24" s="202"/>
      <c r="N24" s="197">
        <v>0.2</v>
      </c>
      <c r="O24" s="202"/>
      <c r="P24" s="197">
        <v>0.1</v>
      </c>
      <c r="Q24" s="196"/>
      <c r="R24" s="197">
        <v>0.1</v>
      </c>
      <c r="S24" s="202"/>
      <c r="T24" s="197">
        <v>0.1</v>
      </c>
      <c r="U24" s="198"/>
      <c r="V24" s="31"/>
      <c r="W24" s="190">
        <f t="shared" si="0"/>
        <v>0</v>
      </c>
      <c r="X24" s="31"/>
    </row>
    <row r="25" spans="1:23" ht="15">
      <c r="A25" s="698"/>
      <c r="B25" s="698"/>
      <c r="C25" s="696"/>
      <c r="D25" s="195" t="s">
        <v>412</v>
      </c>
      <c r="E25" s="201"/>
      <c r="F25" s="200"/>
      <c r="G25" s="199">
        <f>H24*$U$25</f>
        <v>268.551</v>
      </c>
      <c r="H25" s="200"/>
      <c r="I25" s="199">
        <f>J24*$U$25</f>
        <v>537.102</v>
      </c>
      <c r="J25" s="200"/>
      <c r="K25" s="199">
        <f>L24*$U$25</f>
        <v>537.102</v>
      </c>
      <c r="L25" s="200"/>
      <c r="M25" s="199">
        <f>N24*$U$25</f>
        <v>537.102</v>
      </c>
      <c r="N25" s="200"/>
      <c r="O25" s="199">
        <f>P24*$U$25</f>
        <v>268.551</v>
      </c>
      <c r="P25" s="200"/>
      <c r="Q25" s="199">
        <f>R24*$U$25</f>
        <v>268.551</v>
      </c>
      <c r="R25" s="200"/>
      <c r="S25" s="199">
        <f>T24*$U$25</f>
        <v>268.551</v>
      </c>
      <c r="T25" s="200"/>
      <c r="U25" s="199">
        <f>'Orçamento SEM Desoneração '!G60</f>
        <v>2685.5099999999998</v>
      </c>
      <c r="V25" s="31">
        <f>E25+G25+I25+K25+M25+O25+Q25+S25</f>
        <v>2685.5099999999998</v>
      </c>
      <c r="W25" s="190">
        <f t="shared" si="0"/>
        <v>0</v>
      </c>
    </row>
    <row r="26" spans="1:23" ht="15">
      <c r="A26" s="697">
        <v>7</v>
      </c>
      <c r="B26" s="697" t="s">
        <v>67</v>
      </c>
      <c r="C26" s="695">
        <f>U27/$U$48</f>
        <v>0.0934856663845221</v>
      </c>
      <c r="D26" s="195" t="s">
        <v>406</v>
      </c>
      <c r="E26" s="196"/>
      <c r="F26" s="202"/>
      <c r="G26" s="196"/>
      <c r="H26" s="197">
        <v>0.1</v>
      </c>
      <c r="I26" s="202"/>
      <c r="J26" s="197">
        <v>0.1</v>
      </c>
      <c r="K26" s="202"/>
      <c r="L26" s="197">
        <v>0.3</v>
      </c>
      <c r="M26" s="202"/>
      <c r="N26" s="197">
        <v>0.2</v>
      </c>
      <c r="O26" s="202"/>
      <c r="P26" s="197">
        <v>0.1</v>
      </c>
      <c r="Q26" s="196"/>
      <c r="R26" s="197">
        <v>0.1</v>
      </c>
      <c r="S26" s="202"/>
      <c r="T26" s="197">
        <v>0.1</v>
      </c>
      <c r="U26" s="198"/>
      <c r="V26" s="31"/>
      <c r="W26" s="190">
        <f t="shared" si="0"/>
        <v>0</v>
      </c>
    </row>
    <row r="27" spans="1:23" ht="15">
      <c r="A27" s="698"/>
      <c r="B27" s="698"/>
      <c r="C27" s="696"/>
      <c r="D27" s="195" t="s">
        <v>412</v>
      </c>
      <c r="E27" s="201"/>
      <c r="F27" s="200"/>
      <c r="G27" s="199">
        <f>H26*$U$27</f>
        <v>2840.2430000000004</v>
      </c>
      <c r="H27" s="200"/>
      <c r="I27" s="199">
        <f>J26*$U$27</f>
        <v>2840.2430000000004</v>
      </c>
      <c r="J27" s="200"/>
      <c r="K27" s="199">
        <f>L26*$U$27</f>
        <v>8520.729</v>
      </c>
      <c r="L27" s="200"/>
      <c r="M27" s="199">
        <f>N26*$U$27</f>
        <v>5680.486000000001</v>
      </c>
      <c r="N27" s="200"/>
      <c r="O27" s="199">
        <f>P26*$U$27</f>
        <v>2840.2430000000004</v>
      </c>
      <c r="P27" s="200"/>
      <c r="Q27" s="199">
        <f>R26*$U$27</f>
        <v>2840.2430000000004</v>
      </c>
      <c r="R27" s="200"/>
      <c r="S27" s="199">
        <f>T26*$U$27</f>
        <v>2840.2430000000004</v>
      </c>
      <c r="T27" s="200"/>
      <c r="U27" s="199">
        <f>'Orçamento SEM Desoneração '!G71</f>
        <v>28402.43</v>
      </c>
      <c r="V27" s="31">
        <f>E27+G27+I27+K27+M27+O27+Q27+S27</f>
        <v>28402.430000000008</v>
      </c>
      <c r="W27" s="190">
        <f t="shared" si="0"/>
        <v>0</v>
      </c>
    </row>
    <row r="28" spans="1:23" ht="15">
      <c r="A28" s="697">
        <v>8</v>
      </c>
      <c r="B28" s="697" t="s">
        <v>262</v>
      </c>
      <c r="C28" s="695">
        <f>U29/$U$48</f>
        <v>0.04315248432702069</v>
      </c>
      <c r="D28" s="195" t="s">
        <v>406</v>
      </c>
      <c r="E28" s="196"/>
      <c r="F28" s="202"/>
      <c r="G28" s="196"/>
      <c r="H28" s="197">
        <v>0.1</v>
      </c>
      <c r="I28" s="202"/>
      <c r="J28" s="197">
        <v>0.1</v>
      </c>
      <c r="K28" s="202"/>
      <c r="L28" s="197">
        <v>0.3</v>
      </c>
      <c r="M28" s="202"/>
      <c r="N28" s="197">
        <v>0.2</v>
      </c>
      <c r="O28" s="202"/>
      <c r="P28" s="197">
        <v>0.1</v>
      </c>
      <c r="Q28" s="196"/>
      <c r="R28" s="197">
        <v>0.1</v>
      </c>
      <c r="S28" s="202"/>
      <c r="T28" s="197">
        <v>0.1</v>
      </c>
      <c r="U28" s="198"/>
      <c r="V28" s="31"/>
      <c r="W28" s="190">
        <f t="shared" si="0"/>
        <v>0</v>
      </c>
    </row>
    <row r="29" spans="1:23" ht="15">
      <c r="A29" s="698"/>
      <c r="B29" s="698"/>
      <c r="C29" s="696"/>
      <c r="D29" s="195" t="s">
        <v>412</v>
      </c>
      <c r="E29" s="201"/>
      <c r="F29" s="200"/>
      <c r="G29" s="199">
        <f>H28*$U$29</f>
        <v>1311.0410000000002</v>
      </c>
      <c r="H29" s="200"/>
      <c r="I29" s="199">
        <f>J28*$U$29</f>
        <v>1311.0410000000002</v>
      </c>
      <c r="J29" s="200"/>
      <c r="K29" s="199">
        <f>L28*$U$29</f>
        <v>3933.1229999999996</v>
      </c>
      <c r="L29" s="200"/>
      <c r="M29" s="199">
        <f>N28*$U$29</f>
        <v>2622.0820000000003</v>
      </c>
      <c r="N29" s="200"/>
      <c r="O29" s="199">
        <f>P28*$U$29</f>
        <v>1311.0410000000002</v>
      </c>
      <c r="P29" s="200"/>
      <c r="Q29" s="199">
        <f>R28*$U$29</f>
        <v>1311.0410000000002</v>
      </c>
      <c r="R29" s="200"/>
      <c r="S29" s="199">
        <f>T28*$U$29</f>
        <v>1311.0410000000002</v>
      </c>
      <c r="T29" s="200"/>
      <c r="U29" s="199">
        <f>'Orçamento SEM Desoneração '!G79</f>
        <v>13110.41</v>
      </c>
      <c r="V29" s="31">
        <f>E29+G29+I29+K29+M29+O29+Q29+S29</f>
        <v>13110.410000000003</v>
      </c>
      <c r="W29" s="190">
        <f t="shared" si="0"/>
        <v>0</v>
      </c>
    </row>
    <row r="30" spans="1:23" ht="15">
      <c r="A30" s="697">
        <v>9</v>
      </c>
      <c r="B30" s="697" t="s">
        <v>534</v>
      </c>
      <c r="C30" s="695">
        <f>U31/$U$48</f>
        <v>0.015918424013912635</v>
      </c>
      <c r="D30" s="195" t="s">
        <v>406</v>
      </c>
      <c r="E30" s="196"/>
      <c r="F30" s="202"/>
      <c r="G30" s="196"/>
      <c r="H30" s="197">
        <v>0.1</v>
      </c>
      <c r="I30" s="202"/>
      <c r="J30" s="197">
        <v>0.2</v>
      </c>
      <c r="K30" s="202"/>
      <c r="L30" s="197">
        <v>0.3</v>
      </c>
      <c r="M30" s="202"/>
      <c r="N30" s="197">
        <v>0.1</v>
      </c>
      <c r="O30" s="202"/>
      <c r="P30" s="197">
        <v>0.1</v>
      </c>
      <c r="Q30" s="196"/>
      <c r="R30" s="197">
        <v>0.1</v>
      </c>
      <c r="S30" s="202"/>
      <c r="T30" s="197">
        <v>0.1</v>
      </c>
      <c r="U30" s="198"/>
      <c r="V30" s="31"/>
      <c r="W30" s="190">
        <f t="shared" si="0"/>
        <v>0</v>
      </c>
    </row>
    <row r="31" spans="1:23" ht="15">
      <c r="A31" s="698"/>
      <c r="B31" s="698"/>
      <c r="C31" s="696"/>
      <c r="D31" s="195" t="s">
        <v>412</v>
      </c>
      <c r="E31" s="201"/>
      <c r="F31" s="200"/>
      <c r="G31" s="199">
        <f>H30*$U$31</f>
        <v>483.62699999999995</v>
      </c>
      <c r="H31" s="200"/>
      <c r="I31" s="199">
        <f>J30*$U$31</f>
        <v>967.2539999999999</v>
      </c>
      <c r="J31" s="200"/>
      <c r="K31" s="199">
        <f>L30*$U$31</f>
        <v>1450.8809999999999</v>
      </c>
      <c r="L31" s="200"/>
      <c r="M31" s="199">
        <f>N30*$U$31</f>
        <v>483.62699999999995</v>
      </c>
      <c r="N31" s="200"/>
      <c r="O31" s="199">
        <f>P30*$U$31</f>
        <v>483.62699999999995</v>
      </c>
      <c r="P31" s="200"/>
      <c r="Q31" s="199">
        <f>R30*$U$31</f>
        <v>483.62699999999995</v>
      </c>
      <c r="R31" s="200"/>
      <c r="S31" s="199">
        <f>T30*$U$31</f>
        <v>483.62699999999995</v>
      </c>
      <c r="T31" s="200"/>
      <c r="U31" s="199">
        <f>'Orçamento SEM Desoneração '!G107</f>
        <v>4836.2699999999995</v>
      </c>
      <c r="V31" s="31">
        <f>E31+G31+I31+K31+M31+O31+Q31+S31</f>
        <v>4836.27</v>
      </c>
      <c r="W31" s="190">
        <f t="shared" si="0"/>
        <v>0</v>
      </c>
    </row>
    <row r="32" spans="1:23" ht="15">
      <c r="A32" s="697">
        <v>10</v>
      </c>
      <c r="B32" s="697" t="s">
        <v>306</v>
      </c>
      <c r="C32" s="695">
        <f>U33/$U$48</f>
        <v>0.08702810399509071</v>
      </c>
      <c r="D32" s="195" t="s">
        <v>406</v>
      </c>
      <c r="E32" s="196"/>
      <c r="F32" s="202"/>
      <c r="G32" s="196"/>
      <c r="H32" s="197">
        <v>0.1</v>
      </c>
      <c r="I32" s="202"/>
      <c r="J32" s="197">
        <v>0.1</v>
      </c>
      <c r="K32" s="202"/>
      <c r="L32" s="197">
        <v>0.2</v>
      </c>
      <c r="M32" s="202"/>
      <c r="N32" s="197">
        <v>0.3</v>
      </c>
      <c r="O32" s="202"/>
      <c r="P32" s="197">
        <v>0.2</v>
      </c>
      <c r="Q32" s="196"/>
      <c r="R32" s="197">
        <v>0.1</v>
      </c>
      <c r="S32" s="202"/>
      <c r="T32" s="197"/>
      <c r="U32" s="198"/>
      <c r="V32" s="31"/>
      <c r="W32" s="190">
        <f t="shared" si="0"/>
        <v>0</v>
      </c>
    </row>
    <row r="33" spans="1:23" ht="15">
      <c r="A33" s="698"/>
      <c r="B33" s="698"/>
      <c r="C33" s="696"/>
      <c r="D33" s="195" t="s">
        <v>412</v>
      </c>
      <c r="E33" s="201"/>
      <c r="F33" s="200"/>
      <c r="G33" s="199">
        <f>H32*$U$33</f>
        <v>2644.052</v>
      </c>
      <c r="H33" s="200"/>
      <c r="I33" s="199">
        <f>J32*$U$33</f>
        <v>2644.052</v>
      </c>
      <c r="J33" s="200"/>
      <c r="K33" s="199">
        <f>L32*$U$33</f>
        <v>5288.104</v>
      </c>
      <c r="L33" s="200"/>
      <c r="M33" s="199">
        <f>N32*$U$33</f>
        <v>7932.156</v>
      </c>
      <c r="N33" s="200"/>
      <c r="O33" s="199">
        <f>P32*$U$33</f>
        <v>5288.104</v>
      </c>
      <c r="P33" s="200"/>
      <c r="Q33" s="199">
        <f>R32*$U$33</f>
        <v>2644.052</v>
      </c>
      <c r="R33" s="200"/>
      <c r="S33" s="199"/>
      <c r="T33" s="200"/>
      <c r="U33" s="199">
        <f>'Orçamento SEM Desoneração '!G120</f>
        <v>26440.52</v>
      </c>
      <c r="V33" s="31">
        <f>E33+G33+I33+K33+M33+O33+Q33+S33</f>
        <v>26440.52</v>
      </c>
      <c r="W33" s="190">
        <f t="shared" si="0"/>
        <v>0</v>
      </c>
    </row>
    <row r="34" spans="1:23" ht="15">
      <c r="A34" s="697">
        <v>11</v>
      </c>
      <c r="B34" s="697" t="s">
        <v>29</v>
      </c>
      <c r="C34" s="695">
        <f>U35/$U$48</f>
        <v>0.09296047988011687</v>
      </c>
      <c r="D34" s="195" t="s">
        <v>406</v>
      </c>
      <c r="E34" s="196"/>
      <c r="F34" s="202"/>
      <c r="G34" s="196"/>
      <c r="H34" s="197">
        <v>0.05</v>
      </c>
      <c r="I34" s="202"/>
      <c r="J34" s="197">
        <v>0.1</v>
      </c>
      <c r="K34" s="202"/>
      <c r="L34" s="197">
        <v>0.1</v>
      </c>
      <c r="M34" s="202"/>
      <c r="N34" s="197">
        <v>0.15</v>
      </c>
      <c r="O34" s="202"/>
      <c r="P34" s="197">
        <v>0.2</v>
      </c>
      <c r="Q34" s="196"/>
      <c r="R34" s="197">
        <v>0.2</v>
      </c>
      <c r="S34" s="202"/>
      <c r="T34" s="197">
        <v>0.2</v>
      </c>
      <c r="U34" s="198"/>
      <c r="V34" s="31"/>
      <c r="W34" s="190">
        <f t="shared" si="0"/>
        <v>0</v>
      </c>
    </row>
    <row r="35" spans="1:23" ht="15">
      <c r="A35" s="698"/>
      <c r="B35" s="698"/>
      <c r="C35" s="696"/>
      <c r="D35" s="195" t="s">
        <v>412</v>
      </c>
      <c r="E35" s="201"/>
      <c r="F35" s="200"/>
      <c r="G35" s="199">
        <f>H34*$U$35</f>
        <v>1412.1435000000001</v>
      </c>
      <c r="H35" s="200"/>
      <c r="I35" s="199">
        <f>J34*$U$35</f>
        <v>2824.2870000000003</v>
      </c>
      <c r="J35" s="200"/>
      <c r="K35" s="199">
        <f>L34*$U$35</f>
        <v>2824.2870000000003</v>
      </c>
      <c r="L35" s="200"/>
      <c r="M35" s="199">
        <f>N34*$U$35</f>
        <v>4236.4304999999995</v>
      </c>
      <c r="N35" s="200"/>
      <c r="O35" s="199">
        <f>P34*$U$35</f>
        <v>5648.5740000000005</v>
      </c>
      <c r="P35" s="200"/>
      <c r="Q35" s="199">
        <f>R34*$U$35</f>
        <v>5648.5740000000005</v>
      </c>
      <c r="R35" s="200"/>
      <c r="S35" s="199">
        <f>T34*$U$35</f>
        <v>5648.5740000000005</v>
      </c>
      <c r="T35" s="200"/>
      <c r="U35" s="199">
        <f>'Orçamento SEM Desoneração '!G128</f>
        <v>28242.87</v>
      </c>
      <c r="V35" s="31">
        <f>E35+G35+I35+K35+M35+O35+Q35+S35</f>
        <v>28242.870000000003</v>
      </c>
      <c r="W35" s="190">
        <f t="shared" si="0"/>
        <v>0</v>
      </c>
    </row>
    <row r="36" spans="1:24" ht="15">
      <c r="A36" s="697">
        <v>12</v>
      </c>
      <c r="B36" s="697" t="s">
        <v>30</v>
      </c>
      <c r="C36" s="695">
        <f>U37/$U$48</f>
        <v>0.00015785876630280155</v>
      </c>
      <c r="D36" s="195" t="s">
        <v>406</v>
      </c>
      <c r="E36" s="196"/>
      <c r="F36" s="202"/>
      <c r="G36" s="196"/>
      <c r="H36" s="202"/>
      <c r="I36" s="202"/>
      <c r="J36" s="202"/>
      <c r="K36" s="202"/>
      <c r="L36" s="202"/>
      <c r="M36" s="202"/>
      <c r="N36" s="202"/>
      <c r="O36" s="202"/>
      <c r="P36" s="202"/>
      <c r="Q36" s="202"/>
      <c r="R36" s="197">
        <v>1</v>
      </c>
      <c r="S36" s="202"/>
      <c r="T36" s="202"/>
      <c r="U36" s="198"/>
      <c r="V36" s="31"/>
      <c r="W36" s="190">
        <f t="shared" si="0"/>
        <v>0</v>
      </c>
      <c r="X36" s="31"/>
    </row>
    <row r="37" spans="1:23" ht="15">
      <c r="A37" s="698"/>
      <c r="B37" s="698"/>
      <c r="C37" s="696"/>
      <c r="D37" s="195" t="s">
        <v>412</v>
      </c>
      <c r="E37" s="201"/>
      <c r="F37" s="200"/>
      <c r="G37" s="201"/>
      <c r="H37" s="200"/>
      <c r="I37" s="200"/>
      <c r="J37" s="200"/>
      <c r="K37" s="200"/>
      <c r="L37" s="200"/>
      <c r="M37" s="200"/>
      <c r="N37" s="200"/>
      <c r="O37" s="200"/>
      <c r="P37" s="200"/>
      <c r="Q37" s="199">
        <f>R36*$U$37</f>
        <v>47.96</v>
      </c>
      <c r="R37" s="200"/>
      <c r="S37" s="201"/>
      <c r="T37" s="200"/>
      <c r="U37" s="199">
        <f>'Orçamento SEM Desoneração '!G131</f>
        <v>47.96</v>
      </c>
      <c r="V37" s="31">
        <f>E37+G37+I37+K37+M37+O37+Q37+S37</f>
        <v>47.96</v>
      </c>
      <c r="W37" s="190">
        <f t="shared" si="0"/>
        <v>0</v>
      </c>
    </row>
    <row r="38" spans="1:23" ht="15">
      <c r="A38" s="697">
        <v>13</v>
      </c>
      <c r="B38" s="697" t="s">
        <v>32</v>
      </c>
      <c r="C38" s="695">
        <f>U39/$U$48</f>
        <v>0.15441427880596628</v>
      </c>
      <c r="D38" s="195" t="s">
        <v>406</v>
      </c>
      <c r="E38" s="196"/>
      <c r="F38" s="202"/>
      <c r="G38" s="196"/>
      <c r="H38" s="197">
        <v>0.2</v>
      </c>
      <c r="I38" s="202"/>
      <c r="J38" s="197">
        <v>0.2</v>
      </c>
      <c r="K38" s="202"/>
      <c r="L38" s="197">
        <v>0.2</v>
      </c>
      <c r="M38" s="202"/>
      <c r="N38" s="197">
        <v>0.2</v>
      </c>
      <c r="O38" s="202"/>
      <c r="P38" s="197">
        <v>0.1</v>
      </c>
      <c r="Q38" s="196"/>
      <c r="R38" s="197">
        <v>0.1</v>
      </c>
      <c r="S38" s="202"/>
      <c r="T38" s="202"/>
      <c r="U38" s="198"/>
      <c r="V38" s="31"/>
      <c r="W38" s="190">
        <f t="shared" si="0"/>
        <v>0</v>
      </c>
    </row>
    <row r="39" spans="1:23" ht="15">
      <c r="A39" s="698"/>
      <c r="B39" s="698"/>
      <c r="C39" s="696"/>
      <c r="D39" s="195" t="s">
        <v>412</v>
      </c>
      <c r="E39" s="201"/>
      <c r="F39" s="200"/>
      <c r="G39" s="199">
        <f>H38*$U$39</f>
        <v>9382.702</v>
      </c>
      <c r="H39" s="200"/>
      <c r="I39" s="199">
        <f>J38*$U$39</f>
        <v>9382.702</v>
      </c>
      <c r="J39" s="200"/>
      <c r="K39" s="199">
        <f>L38*$U$39</f>
        <v>9382.702</v>
      </c>
      <c r="L39" s="200"/>
      <c r="M39" s="199">
        <f>N38*$U$39</f>
        <v>9382.702</v>
      </c>
      <c r="N39" s="200"/>
      <c r="O39" s="199">
        <f>P38*$U$39</f>
        <v>4691.351</v>
      </c>
      <c r="P39" s="200"/>
      <c r="Q39" s="199">
        <f>R38*$U$39</f>
        <v>4691.351</v>
      </c>
      <c r="R39" s="200"/>
      <c r="S39" s="201"/>
      <c r="T39" s="200"/>
      <c r="U39" s="199">
        <f>'Orçamento SEM Desoneração '!G142</f>
        <v>46913.509999999995</v>
      </c>
      <c r="V39" s="31">
        <f>E39+G39+I39+K39+M39+O39+Q39+S39</f>
        <v>46913.51</v>
      </c>
      <c r="W39" s="190">
        <f t="shared" si="0"/>
        <v>0</v>
      </c>
    </row>
    <row r="40" spans="1:23" ht="15">
      <c r="A40" s="697">
        <v>14</v>
      </c>
      <c r="B40" s="697" t="s">
        <v>34</v>
      </c>
      <c r="C40" s="695">
        <f>U41/$U$48</f>
        <v>0.1285687568404917</v>
      </c>
      <c r="D40" s="195" t="s">
        <v>406</v>
      </c>
      <c r="E40" s="196"/>
      <c r="F40" s="202"/>
      <c r="G40" s="196"/>
      <c r="H40" s="197">
        <v>0.1</v>
      </c>
      <c r="I40" s="202"/>
      <c r="J40" s="197">
        <v>0.2</v>
      </c>
      <c r="K40" s="202"/>
      <c r="L40" s="197">
        <v>0.2</v>
      </c>
      <c r="M40" s="202"/>
      <c r="N40" s="197">
        <v>0.2</v>
      </c>
      <c r="O40" s="202"/>
      <c r="P40" s="197">
        <v>0.1</v>
      </c>
      <c r="Q40" s="196"/>
      <c r="R40" s="197">
        <v>0.1</v>
      </c>
      <c r="S40" s="202"/>
      <c r="T40" s="197">
        <v>0.1</v>
      </c>
      <c r="U40" s="198"/>
      <c r="V40" s="31"/>
      <c r="W40" s="190">
        <f t="shared" si="0"/>
        <v>0</v>
      </c>
    </row>
    <row r="41" spans="1:23" ht="15">
      <c r="A41" s="698"/>
      <c r="B41" s="698"/>
      <c r="C41" s="696"/>
      <c r="D41" s="195" t="s">
        <v>412</v>
      </c>
      <c r="E41" s="201"/>
      <c r="F41" s="200"/>
      <c r="G41" s="199">
        <f>H40*$U$41</f>
        <v>3906.1230000000014</v>
      </c>
      <c r="H41" s="200"/>
      <c r="I41" s="199">
        <f>J40*$U$41</f>
        <v>7812.246000000003</v>
      </c>
      <c r="J41" s="200"/>
      <c r="K41" s="199">
        <f>L40*$U$41</f>
        <v>7812.246000000003</v>
      </c>
      <c r="L41" s="200"/>
      <c r="M41" s="199">
        <f>N40*$U$41</f>
        <v>7812.246000000003</v>
      </c>
      <c r="N41" s="200"/>
      <c r="O41" s="199">
        <f>P40*$U$41</f>
        <v>3906.1230000000014</v>
      </c>
      <c r="P41" s="200"/>
      <c r="Q41" s="199">
        <f>R40*$U$41</f>
        <v>3906.1230000000014</v>
      </c>
      <c r="R41" s="200"/>
      <c r="S41" s="199">
        <f>T40*$U$41</f>
        <v>3906.1230000000014</v>
      </c>
      <c r="T41" s="200"/>
      <c r="U41" s="199">
        <f>'Orçamento SEM Desoneração '!G158</f>
        <v>39061.23000000001</v>
      </c>
      <c r="V41" s="31">
        <f>E41+G41+I41+K41+M41+O41+Q41+S41</f>
        <v>39061.23000000001</v>
      </c>
      <c r="W41" s="190">
        <f t="shared" si="0"/>
        <v>0</v>
      </c>
    </row>
    <row r="42" spans="1:23" ht="15">
      <c r="A42" s="697">
        <v>15</v>
      </c>
      <c r="B42" s="697" t="s">
        <v>300</v>
      </c>
      <c r="C42" s="695">
        <f>U43/$U$48</f>
        <v>0.03193503249402236</v>
      </c>
      <c r="D42" s="195" t="s">
        <v>406</v>
      </c>
      <c r="E42" s="196"/>
      <c r="F42" s="202"/>
      <c r="G42" s="196"/>
      <c r="H42" s="197">
        <v>0.1</v>
      </c>
      <c r="I42" s="202"/>
      <c r="J42" s="197">
        <v>0.2</v>
      </c>
      <c r="K42" s="202"/>
      <c r="L42" s="197">
        <v>0.2</v>
      </c>
      <c r="M42" s="202"/>
      <c r="N42" s="197">
        <v>0.2</v>
      </c>
      <c r="O42" s="202"/>
      <c r="P42" s="197">
        <v>0.1</v>
      </c>
      <c r="Q42" s="196"/>
      <c r="R42" s="197">
        <v>0.1</v>
      </c>
      <c r="S42" s="202"/>
      <c r="T42" s="197">
        <v>0.1</v>
      </c>
      <c r="U42" s="198"/>
      <c r="V42" s="31"/>
      <c r="W42" s="190">
        <f t="shared" si="0"/>
        <v>0</v>
      </c>
    </row>
    <row r="43" spans="1:23" ht="15">
      <c r="A43" s="698"/>
      <c r="B43" s="698"/>
      <c r="C43" s="696"/>
      <c r="D43" s="195" t="s">
        <v>412</v>
      </c>
      <c r="E43" s="201"/>
      <c r="F43" s="200"/>
      <c r="G43" s="199">
        <f>H42*$U$43</f>
        <v>970.237</v>
      </c>
      <c r="H43" s="200"/>
      <c r="I43" s="199">
        <f>J42*$U$43</f>
        <v>1940.474</v>
      </c>
      <c r="J43" s="200"/>
      <c r="K43" s="199">
        <f>L42*$U$43</f>
        <v>1940.474</v>
      </c>
      <c r="L43" s="200"/>
      <c r="M43" s="199">
        <f>N42*$U$43</f>
        <v>1940.474</v>
      </c>
      <c r="N43" s="200"/>
      <c r="O43" s="199">
        <f>P42*$U$43</f>
        <v>970.237</v>
      </c>
      <c r="P43" s="200"/>
      <c r="Q43" s="199">
        <f>R42*$U$43</f>
        <v>970.237</v>
      </c>
      <c r="R43" s="200"/>
      <c r="S43" s="199">
        <f>T42*$U$43</f>
        <v>970.237</v>
      </c>
      <c r="T43" s="200"/>
      <c r="U43" s="199">
        <f>'Orçamento SEM Desoneração '!G166</f>
        <v>9702.369999999999</v>
      </c>
      <c r="V43" s="31">
        <f>E43+G43+I43+K43+M43+O43+Q43+S43</f>
        <v>9702.369999999999</v>
      </c>
      <c r="W43" s="190">
        <f t="shared" si="0"/>
        <v>0</v>
      </c>
    </row>
    <row r="44" spans="1:23" ht="15">
      <c r="A44" s="697">
        <v>16</v>
      </c>
      <c r="B44" s="697" t="s">
        <v>37</v>
      </c>
      <c r="C44" s="695">
        <f>U45/$U$48</f>
        <v>0.184686922882372</v>
      </c>
      <c r="D44" s="195" t="s">
        <v>406</v>
      </c>
      <c r="E44" s="196"/>
      <c r="F44" s="202"/>
      <c r="G44" s="196"/>
      <c r="H44" s="197">
        <v>0.1</v>
      </c>
      <c r="I44" s="202"/>
      <c r="J44" s="197">
        <v>0.1</v>
      </c>
      <c r="K44" s="202"/>
      <c r="L44" s="197">
        <v>0.2</v>
      </c>
      <c r="M44" s="202"/>
      <c r="N44" s="197">
        <v>0.2</v>
      </c>
      <c r="O44" s="202"/>
      <c r="P44" s="197">
        <v>0.2</v>
      </c>
      <c r="Q44" s="196"/>
      <c r="R44" s="197">
        <v>0.1</v>
      </c>
      <c r="S44" s="202"/>
      <c r="T44" s="197">
        <v>0.1</v>
      </c>
      <c r="U44" s="198"/>
      <c r="V44" s="31"/>
      <c r="W44" s="190">
        <f t="shared" si="0"/>
        <v>0</v>
      </c>
    </row>
    <row r="45" spans="1:23" ht="15">
      <c r="A45" s="698"/>
      <c r="B45" s="698"/>
      <c r="C45" s="696"/>
      <c r="D45" s="195" t="s">
        <v>412</v>
      </c>
      <c r="E45" s="201"/>
      <c r="F45" s="200"/>
      <c r="G45" s="199">
        <f>H44*$U$45</f>
        <v>5611.081999999999</v>
      </c>
      <c r="H45" s="200"/>
      <c r="I45" s="199">
        <f>J44*$U$45</f>
        <v>5611.081999999999</v>
      </c>
      <c r="J45" s="200"/>
      <c r="K45" s="199">
        <f>L44*$U$45</f>
        <v>11222.163999999999</v>
      </c>
      <c r="L45" s="200"/>
      <c r="M45" s="199">
        <f>N44*$U$45</f>
        <v>11222.163999999999</v>
      </c>
      <c r="N45" s="200"/>
      <c r="O45" s="199">
        <f>P44*$U$45</f>
        <v>11222.163999999999</v>
      </c>
      <c r="P45" s="200"/>
      <c r="Q45" s="199">
        <f>R44*$U$45</f>
        <v>5611.081999999999</v>
      </c>
      <c r="R45" s="200"/>
      <c r="S45" s="199">
        <f>T44*$U$45</f>
        <v>5611.081999999999</v>
      </c>
      <c r="T45" s="200" t="s">
        <v>760</v>
      </c>
      <c r="U45" s="199">
        <f>'Orçamento SEM Desoneração '!G185</f>
        <v>56110.81999999999</v>
      </c>
      <c r="V45" s="31">
        <f>E45+G45+I45+K45+M45+O45+Q45+S45</f>
        <v>56110.82</v>
      </c>
      <c r="W45" s="190">
        <f t="shared" si="0"/>
        <v>0</v>
      </c>
    </row>
    <row r="46" spans="1:23" ht="15">
      <c r="A46" s="697">
        <v>17</v>
      </c>
      <c r="B46" s="697" t="s">
        <v>1136</v>
      </c>
      <c r="C46" s="695">
        <f>U47/$U$48</f>
        <v>0.03337386446027772</v>
      </c>
      <c r="D46" s="195" t="s">
        <v>406</v>
      </c>
      <c r="E46" s="196"/>
      <c r="F46" s="196"/>
      <c r="G46" s="196"/>
      <c r="H46" s="196"/>
      <c r="I46" s="196"/>
      <c r="J46" s="196"/>
      <c r="K46" s="196"/>
      <c r="L46" s="196"/>
      <c r="M46" s="196"/>
      <c r="N46" s="196"/>
      <c r="O46" s="196"/>
      <c r="P46" s="196"/>
      <c r="Q46" s="196"/>
      <c r="R46" s="197">
        <v>0.1</v>
      </c>
      <c r="S46" s="202"/>
      <c r="T46" s="197">
        <v>0.9</v>
      </c>
      <c r="U46" s="198"/>
      <c r="V46" s="31"/>
      <c r="W46" s="190">
        <f>U46-V46</f>
        <v>0</v>
      </c>
    </row>
    <row r="47" spans="1:23" ht="15">
      <c r="A47" s="698"/>
      <c r="B47" s="698"/>
      <c r="C47" s="696"/>
      <c r="D47" s="195" t="s">
        <v>412</v>
      </c>
      <c r="E47" s="201"/>
      <c r="F47" s="201"/>
      <c r="G47" s="201"/>
      <c r="H47" s="201"/>
      <c r="I47" s="201"/>
      <c r="J47" s="201"/>
      <c r="K47" s="201"/>
      <c r="L47" s="201"/>
      <c r="M47" s="201"/>
      <c r="N47" s="201"/>
      <c r="O47" s="201"/>
      <c r="P47" s="200"/>
      <c r="Q47" s="199">
        <f>R46*$U$47</f>
        <v>1013.951</v>
      </c>
      <c r="R47" s="200"/>
      <c r="S47" s="199">
        <f>T46*$U$47</f>
        <v>9125.559000000001</v>
      </c>
      <c r="T47" s="200" t="s">
        <v>760</v>
      </c>
      <c r="U47" s="199">
        <f>'Orçamento SEM Desoneração '!G210</f>
        <v>10139.51</v>
      </c>
      <c r="V47" s="31">
        <f>E47+G47+I47+K47+M47+O47+Q47+S47</f>
        <v>10139.510000000002</v>
      </c>
      <c r="W47" s="190">
        <f>U47-V47</f>
        <v>0</v>
      </c>
    </row>
    <row r="48" spans="1:23" ht="15.75">
      <c r="A48" s="192"/>
      <c r="B48" s="192" t="s">
        <v>53</v>
      </c>
      <c r="C48" s="203">
        <f>SUM(C14:C47)</f>
        <v>1</v>
      </c>
      <c r="D48" s="192" t="s">
        <v>412</v>
      </c>
      <c r="E48" s="192"/>
      <c r="F48" s="192"/>
      <c r="G48" s="192"/>
      <c r="H48" s="192"/>
      <c r="I48" s="192"/>
      <c r="J48" s="192"/>
      <c r="K48" s="192"/>
      <c r="L48" s="192"/>
      <c r="M48" s="192"/>
      <c r="N48" s="192"/>
      <c r="O48" s="192"/>
      <c r="P48" s="192"/>
      <c r="Q48" s="192"/>
      <c r="R48" s="192"/>
      <c r="S48" s="193"/>
      <c r="T48" s="193"/>
      <c r="U48" s="204">
        <f>SUM(U14:U47)</f>
        <v>303815.88</v>
      </c>
      <c r="W48" s="190">
        <f>SUM(W15:W45)</f>
        <v>0</v>
      </c>
    </row>
    <row r="49" spans="1:21" ht="15">
      <c r="A49" s="205"/>
      <c r="B49" s="205"/>
      <c r="C49" s="205"/>
      <c r="D49" s="205"/>
      <c r="E49" s="205"/>
      <c r="F49" s="205"/>
      <c r="G49" s="205"/>
      <c r="H49" s="205"/>
      <c r="I49" s="205"/>
      <c r="J49" s="205"/>
      <c r="K49" s="205"/>
      <c r="L49" s="205"/>
      <c r="M49" s="205"/>
      <c r="N49" s="205"/>
      <c r="O49" s="205"/>
      <c r="P49" s="205"/>
      <c r="Q49" s="205"/>
      <c r="R49" s="205"/>
      <c r="S49" s="205"/>
      <c r="T49" s="205"/>
      <c r="U49" s="205"/>
    </row>
    <row r="50" spans="1:21" ht="15">
      <c r="A50" s="726" t="s">
        <v>414</v>
      </c>
      <c r="B50" s="727"/>
      <c r="C50" s="728"/>
      <c r="D50" s="195" t="s">
        <v>413</v>
      </c>
      <c r="E50" s="724">
        <f>SUM(E14:E47)</f>
        <v>37836.598000000005</v>
      </c>
      <c r="F50" s="725"/>
      <c r="G50" s="724">
        <f>SUM(G14:G47)</f>
        <v>28829.801499999998</v>
      </c>
      <c r="H50" s="725"/>
      <c r="I50" s="724">
        <f>SUM(I14:I47)</f>
        <v>35870.483</v>
      </c>
      <c r="J50" s="725"/>
      <c r="K50" s="724">
        <f>SUM(K14:K47)</f>
        <v>52911.812</v>
      </c>
      <c r="L50" s="725"/>
      <c r="M50" s="724">
        <f>SUM(M14:M47)</f>
        <v>51849.4695</v>
      </c>
      <c r="N50" s="725"/>
      <c r="O50" s="724">
        <f>SUM(O14:O47)</f>
        <v>36630.015</v>
      </c>
      <c r="P50" s="725"/>
      <c r="Q50" s="724">
        <f>SUM(Q14:Q47)</f>
        <v>29436.792000000005</v>
      </c>
      <c r="R50" s="725"/>
      <c r="S50" s="724">
        <f>SUM(S14:S47)</f>
        <v>30450.909000000003</v>
      </c>
      <c r="T50" s="725"/>
      <c r="U50" s="206">
        <f>U48</f>
        <v>303815.88</v>
      </c>
    </row>
    <row r="51" spans="1:24" ht="15">
      <c r="A51" s="729"/>
      <c r="B51" s="730"/>
      <c r="C51" s="731"/>
      <c r="D51" s="195" t="s">
        <v>5</v>
      </c>
      <c r="E51" s="696">
        <f>E50/$U$50</f>
        <v>0.12453792079597684</v>
      </c>
      <c r="F51" s="696"/>
      <c r="G51" s="696">
        <f>G50/$U$50</f>
        <v>0.09489234565355832</v>
      </c>
      <c r="H51" s="696"/>
      <c r="I51" s="696">
        <f>I50/$U$50</f>
        <v>0.11806651778702285</v>
      </c>
      <c r="J51" s="696"/>
      <c r="K51" s="696">
        <f>K50/$U$50</f>
        <v>0.17415749301846895</v>
      </c>
      <c r="L51" s="696"/>
      <c r="M51" s="696">
        <f>M50/$U$50</f>
        <v>0.17066082753804704</v>
      </c>
      <c r="N51" s="696"/>
      <c r="O51" s="696">
        <f>O50/$U$50</f>
        <v>0.1205664924427255</v>
      </c>
      <c r="P51" s="696"/>
      <c r="Q51" s="696">
        <f>Q50/$U$50</f>
        <v>0.09689023496730982</v>
      </c>
      <c r="R51" s="696"/>
      <c r="S51" s="696">
        <f>S50/$U$50</f>
        <v>0.10022816779689069</v>
      </c>
      <c r="T51" s="696"/>
      <c r="U51" s="207"/>
      <c r="X51" s="31">
        <f>U50-'[2]Cronograma'!$U$50</f>
        <v>-33632.46000000002</v>
      </c>
    </row>
    <row r="52" spans="1:21" ht="15">
      <c r="A52" s="726" t="s">
        <v>415</v>
      </c>
      <c r="B52" s="727"/>
      <c r="C52" s="728"/>
      <c r="D52" s="195" t="s">
        <v>413</v>
      </c>
      <c r="E52" s="721">
        <f>E50</f>
        <v>37836.598000000005</v>
      </c>
      <c r="F52" s="721"/>
      <c r="G52" s="721">
        <f>E52+G50</f>
        <v>66666.3995</v>
      </c>
      <c r="H52" s="721"/>
      <c r="I52" s="721">
        <f>G52+I50</f>
        <v>102536.8825</v>
      </c>
      <c r="J52" s="721"/>
      <c r="K52" s="721">
        <f>I52+K50</f>
        <v>155448.6945</v>
      </c>
      <c r="L52" s="721"/>
      <c r="M52" s="721">
        <f>K52+M50</f>
        <v>207298.16400000002</v>
      </c>
      <c r="N52" s="721"/>
      <c r="O52" s="721">
        <f>M52+O50</f>
        <v>243928.179</v>
      </c>
      <c r="P52" s="721"/>
      <c r="Q52" s="721">
        <f>O52+Q50</f>
        <v>273364.971</v>
      </c>
      <c r="R52" s="721"/>
      <c r="S52" s="721">
        <f>Q52+S50</f>
        <v>303815.88</v>
      </c>
      <c r="T52" s="721"/>
      <c r="U52" s="198"/>
    </row>
    <row r="53" spans="1:21" ht="15">
      <c r="A53" s="729"/>
      <c r="B53" s="730"/>
      <c r="C53" s="731"/>
      <c r="D53" s="195" t="s">
        <v>5</v>
      </c>
      <c r="E53" s="722">
        <f>E51</f>
        <v>0.12453792079597684</v>
      </c>
      <c r="F53" s="723"/>
      <c r="G53" s="722">
        <f>E53+G51</f>
        <v>0.21943026644953517</v>
      </c>
      <c r="H53" s="723"/>
      <c r="I53" s="722">
        <f>G53+I51</f>
        <v>0.33749678423655805</v>
      </c>
      <c r="J53" s="723"/>
      <c r="K53" s="722">
        <f>I53+K51</f>
        <v>0.511654277255027</v>
      </c>
      <c r="L53" s="723"/>
      <c r="M53" s="722">
        <f>K53+M51</f>
        <v>0.682315104793074</v>
      </c>
      <c r="N53" s="723"/>
      <c r="O53" s="722">
        <f>M53+O51</f>
        <v>0.8028815972357995</v>
      </c>
      <c r="P53" s="723"/>
      <c r="Q53" s="722">
        <f>O53+Q51</f>
        <v>0.8997718322031094</v>
      </c>
      <c r="R53" s="723"/>
      <c r="S53" s="722">
        <f>Q53+S51</f>
        <v>1</v>
      </c>
      <c r="T53" s="723"/>
      <c r="U53" s="207"/>
    </row>
    <row r="55" ht="12.75">
      <c r="U55">
        <v>299396</v>
      </c>
    </row>
    <row r="56" ht="12.75">
      <c r="U56" s="31">
        <f>U50-U55</f>
        <v>4419.880000000005</v>
      </c>
    </row>
  </sheetData>
  <sheetProtection/>
  <mergeCells count="109">
    <mergeCell ref="S6:U6"/>
    <mergeCell ref="S7:U7"/>
    <mergeCell ref="S8:U8"/>
    <mergeCell ref="C6:Q6"/>
    <mergeCell ref="C7:Q7"/>
    <mergeCell ref="S12:T12"/>
    <mergeCell ref="K12:L12"/>
    <mergeCell ref="M12:N12"/>
    <mergeCell ref="O12:P12"/>
    <mergeCell ref="C8:Q8"/>
    <mergeCell ref="A46:A47"/>
    <mergeCell ref="B46:B47"/>
    <mergeCell ref="C46:C47"/>
    <mergeCell ref="A12:A13"/>
    <mergeCell ref="B30:B31"/>
    <mergeCell ref="C30:C31"/>
    <mergeCell ref="A22:A23"/>
    <mergeCell ref="B22:B23"/>
    <mergeCell ref="B12:B13"/>
    <mergeCell ref="C14:C15"/>
    <mergeCell ref="E12:F12"/>
    <mergeCell ref="G12:H12"/>
    <mergeCell ref="Q12:R12"/>
    <mergeCell ref="A10:U10"/>
    <mergeCell ref="C28:C29"/>
    <mergeCell ref="A36:A37"/>
    <mergeCell ref="B36:B37"/>
    <mergeCell ref="C36:C37"/>
    <mergeCell ref="A14:A15"/>
    <mergeCell ref="B14:B15"/>
    <mergeCell ref="A34:A35"/>
    <mergeCell ref="B34:B35"/>
    <mergeCell ref="C34:C35"/>
    <mergeCell ref="A38:A39"/>
    <mergeCell ref="B38:B39"/>
    <mergeCell ref="C38:C39"/>
    <mergeCell ref="A40:A41"/>
    <mergeCell ref="B40:B41"/>
    <mergeCell ref="C40:C41"/>
    <mergeCell ref="O50:P50"/>
    <mergeCell ref="A42:A43"/>
    <mergeCell ref="B42:B43"/>
    <mergeCell ref="C42:C43"/>
    <mergeCell ref="A44:A45"/>
    <mergeCell ref="B44:B45"/>
    <mergeCell ref="C44:C45"/>
    <mergeCell ref="A50:C51"/>
    <mergeCell ref="E50:F50"/>
    <mergeCell ref="G50:H50"/>
    <mergeCell ref="A52:C53"/>
    <mergeCell ref="E52:F52"/>
    <mergeCell ref="G52:H52"/>
    <mergeCell ref="S50:T50"/>
    <mergeCell ref="E51:F51"/>
    <mergeCell ref="G51:H51"/>
    <mergeCell ref="Q51:R51"/>
    <mergeCell ref="S51:T51"/>
    <mergeCell ref="I50:J50"/>
    <mergeCell ref="I51:J51"/>
    <mergeCell ref="K51:L51"/>
    <mergeCell ref="M51:N51"/>
    <mergeCell ref="K50:L50"/>
    <mergeCell ref="M50:N50"/>
    <mergeCell ref="Q52:R52"/>
    <mergeCell ref="O51:P51"/>
    <mergeCell ref="K52:L52"/>
    <mergeCell ref="M52:N52"/>
    <mergeCell ref="O52:P52"/>
    <mergeCell ref="Q50:R50"/>
    <mergeCell ref="S52:T52"/>
    <mergeCell ref="E53:F53"/>
    <mergeCell ref="G53:H53"/>
    <mergeCell ref="Q53:R53"/>
    <mergeCell ref="S53:T53"/>
    <mergeCell ref="I53:J53"/>
    <mergeCell ref="K53:L53"/>
    <mergeCell ref="M53:N53"/>
    <mergeCell ref="O53:P53"/>
    <mergeCell ref="I52:J52"/>
    <mergeCell ref="C22:C23"/>
    <mergeCell ref="A24:A25"/>
    <mergeCell ref="B24:B25"/>
    <mergeCell ref="C1:H1"/>
    <mergeCell ref="C2:H2"/>
    <mergeCell ref="C3:H3"/>
    <mergeCell ref="A16:A17"/>
    <mergeCell ref="B16:B17"/>
    <mergeCell ref="C16:C17"/>
    <mergeCell ref="A18:A19"/>
    <mergeCell ref="S5:U5"/>
    <mergeCell ref="C4:Q4"/>
    <mergeCell ref="C5:Q5"/>
    <mergeCell ref="A20:A21"/>
    <mergeCell ref="B20:B21"/>
    <mergeCell ref="C20:C21"/>
    <mergeCell ref="B18:B19"/>
    <mergeCell ref="C18:C19"/>
    <mergeCell ref="U12:U13"/>
    <mergeCell ref="I12:J12"/>
    <mergeCell ref="C24:C25"/>
    <mergeCell ref="A32:A33"/>
    <mergeCell ref="B32:B33"/>
    <mergeCell ref="C32:C33"/>
    <mergeCell ref="A26:A27"/>
    <mergeCell ref="B26:B27"/>
    <mergeCell ref="C26:C27"/>
    <mergeCell ref="A30:A31"/>
    <mergeCell ref="A28:A29"/>
    <mergeCell ref="B28:B29"/>
  </mergeCells>
  <printOptions/>
  <pageMargins left="0.5118110236220472" right="0.5118110236220472" top="0.7874015748031497" bottom="0.7874015748031497" header="0.31496062992125984" footer="0.31496062992125984"/>
  <pageSetup horizontalDpi="600" verticalDpi="600" orientation="landscape" paperSize="9" scale="42" r:id="rId2"/>
  <headerFooter>
    <oddFooter>&amp;C&amp;22&amp;A&amp;R&amp;22Página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PMVR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ippu</dc:creator>
  <cp:keywords/>
  <dc:description/>
  <cp:lastModifiedBy>Thais da Silva Miranda</cp:lastModifiedBy>
  <cp:lastPrinted>2019-12-13T18:46:53Z</cp:lastPrinted>
  <dcterms:created xsi:type="dcterms:W3CDTF">2007-05-03T19:44:03Z</dcterms:created>
  <dcterms:modified xsi:type="dcterms:W3CDTF">2020-08-06T13:18:08Z</dcterms:modified>
  <cp:category/>
  <cp:version/>
  <cp:contentType/>
  <cp:contentStatus/>
</cp:coreProperties>
</file>